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joedd\OneDrive\Documents\FPI\"/>
    </mc:Choice>
  </mc:AlternateContent>
  <xr:revisionPtr revIDLastSave="0" documentId="8_{DD26F397-9EB2-493D-9619-E8FB7EBC7A7E}" xr6:coauthVersionLast="47" xr6:coauthVersionMax="47" xr10:uidLastSave="{00000000-0000-0000-0000-000000000000}"/>
  <bookViews>
    <workbookView xWindow="390" yWindow="0" windowWidth="25440" windowHeight="20880" xr2:uid="{D31B115B-BD52-4C71-90D4-67742A3A7FA2}"/>
  </bookViews>
  <sheets>
    <sheet name="WELCOME" sheetId="4" r:id="rId1"/>
    <sheet name="Peer Inside An EBITDA Multiple" sheetId="3" r:id="rId2"/>
    <sheet name="Trial Balances" sheetId="9" r:id="rId3"/>
    <sheet name="Calculate An EBITDA Multiple" sheetId="7" r:id="rId4"/>
  </sheets>
  <definedNames>
    <definedName name="_xlnm.Print_Area" localSheetId="1">'Peer Inside An EBITDA Multiple'!$B$4:$P$77</definedName>
    <definedName name="_xlnm.Print_Area" localSheetId="2">'Trial Balances'!$A$4:$V$134</definedName>
    <definedName name="_xlnm.Print_Area" localSheetId="0">WELCOME!$B$22:$B$24</definedName>
    <definedName name="_xlnm.Print_Titles" localSheetId="2">'Trial Balances'!$4:$5</definedName>
  </definedNames>
  <calcPr calcId="191029" iterateDelta="9.9999999999999994E-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B47" i="3"/>
  <c r="H15" i="9"/>
  <c r="I15" i="9" s="1"/>
  <c r="J15" i="9" s="1"/>
  <c r="H12" i="9"/>
  <c r="I12" i="9" s="1"/>
  <c r="J12" i="9" s="1"/>
  <c r="M6" i="9"/>
  <c r="I38" i="3"/>
  <c r="J38" i="3" s="1"/>
  <c r="H14" i="3"/>
  <c r="I29" i="3" l="1"/>
  <c r="H17" i="3"/>
  <c r="N12" i="9"/>
  <c r="O12" i="9" s="1"/>
  <c r="O73" i="9"/>
  <c r="R73" i="9"/>
  <c r="T77" i="9"/>
  <c r="D20" i="9"/>
  <c r="D33" i="9" s="1"/>
  <c r="D46" i="9" s="1"/>
  <c r="D59" i="9" s="1"/>
  <c r="D72" i="9" s="1"/>
  <c r="D85" i="9" s="1"/>
  <c r="D98" i="9" s="1"/>
  <c r="D111" i="9" s="1"/>
  <c r="D124" i="9" s="1"/>
  <c r="H33" i="3"/>
  <c r="D22" i="9"/>
  <c r="D35" i="9" s="1"/>
  <c r="D48" i="9" s="1"/>
  <c r="D61" i="9" s="1"/>
  <c r="D74" i="9" s="1"/>
  <c r="D87" i="9" s="1"/>
  <c r="D100" i="9" s="1"/>
  <c r="D113" i="9" s="1"/>
  <c r="D126" i="9" s="1"/>
  <c r="F85" i="9"/>
  <c r="D6" i="9"/>
  <c r="T12" i="9"/>
  <c r="U12" i="9" s="1"/>
  <c r="F39" i="9"/>
  <c r="F46" i="9"/>
  <c r="Q64" i="9"/>
  <c r="R64" i="9" s="1"/>
  <c r="D28" i="9"/>
  <c r="D41" i="9" s="1"/>
  <c r="D54" i="9" s="1"/>
  <c r="D67" i="9" s="1"/>
  <c r="D80" i="9" s="1"/>
  <c r="D93" i="9" s="1"/>
  <c r="D106" i="9" s="1"/>
  <c r="D119" i="9" s="1"/>
  <c r="D132" i="9" s="1"/>
  <c r="D58" i="9"/>
  <c r="F58" i="9"/>
  <c r="F63" i="9"/>
  <c r="F77" i="9"/>
  <c r="R86" i="9"/>
  <c r="P128" i="9"/>
  <c r="R99" i="9"/>
  <c r="N129" i="9"/>
  <c r="O129" i="9" s="1"/>
  <c r="F110" i="9"/>
  <c r="K103" i="9"/>
  <c r="L103" i="9" s="1"/>
  <c r="F102" i="9"/>
  <c r="F90" i="9"/>
  <c r="L86" i="9"/>
  <c r="R85" i="9"/>
  <c r="F78" i="9"/>
  <c r="F124" i="9"/>
  <c r="K116" i="9"/>
  <c r="L116" i="9" s="1"/>
  <c r="F115" i="9"/>
  <c r="N90" i="9"/>
  <c r="O90" i="9" s="1"/>
  <c r="L85" i="9"/>
  <c r="T90" i="9"/>
  <c r="U90" i="9" s="1"/>
  <c r="F89" i="9"/>
  <c r="D84" i="9"/>
  <c r="F75" i="9"/>
  <c r="R72" i="9"/>
  <c r="F129" i="9"/>
  <c r="R98" i="9"/>
  <c r="Q90" i="9"/>
  <c r="K77" i="9"/>
  <c r="L73" i="9"/>
  <c r="D71" i="9"/>
  <c r="T64" i="9"/>
  <c r="U64" i="9" s="1"/>
  <c r="H64" i="9"/>
  <c r="K38" i="9"/>
  <c r="F37" i="9"/>
  <c r="H129" i="9"/>
  <c r="I129" i="9" s="1"/>
  <c r="Q116" i="9"/>
  <c r="R116" i="9" s="1"/>
  <c r="Q103" i="9"/>
  <c r="R103" i="9" s="1"/>
  <c r="F76" i="9"/>
  <c r="F64" i="9"/>
  <c r="N25" i="9"/>
  <c r="O25" i="9" s="1"/>
  <c r="D23" i="9"/>
  <c r="D36" i="9" s="1"/>
  <c r="D49" i="9" s="1"/>
  <c r="D62" i="9" s="1"/>
  <c r="D75" i="9" s="1"/>
  <c r="D88" i="9" s="1"/>
  <c r="D101" i="9" s="1"/>
  <c r="D114" i="9" s="1"/>
  <c r="D127" i="9" s="1"/>
  <c r="O7" i="9"/>
  <c r="F130" i="9"/>
  <c r="K129" i="9"/>
  <c r="L129" i="9" s="1"/>
  <c r="F116" i="9"/>
  <c r="F127" i="9"/>
  <c r="D123" i="9"/>
  <c r="F117" i="9"/>
  <c r="H103" i="9"/>
  <c r="I103" i="9" s="1"/>
  <c r="K90" i="9"/>
  <c r="L90" i="9" s="1"/>
  <c r="F49" i="9"/>
  <c r="T38" i="9"/>
  <c r="U38" i="9" s="1"/>
  <c r="F38" i="9"/>
  <c r="D32" i="9"/>
  <c r="D26" i="9"/>
  <c r="D39" i="9" s="1"/>
  <c r="D52" i="9" s="1"/>
  <c r="D65" i="9" s="1"/>
  <c r="D78" i="9" s="1"/>
  <c r="D91" i="9" s="1"/>
  <c r="D104" i="9" s="1"/>
  <c r="D117" i="9" s="1"/>
  <c r="D130" i="9" s="1"/>
  <c r="F103" i="9"/>
  <c r="I86" i="9"/>
  <c r="N77" i="9"/>
  <c r="K64" i="9"/>
  <c r="L64" i="9" s="1"/>
  <c r="F50" i="9"/>
  <c r="F128" i="9"/>
  <c r="N116" i="9"/>
  <c r="O99" i="9"/>
  <c r="H90" i="9"/>
  <c r="L99" i="9"/>
  <c r="N6" i="9"/>
  <c r="H34" i="3"/>
  <c r="H116" i="9"/>
  <c r="I116" i="9" s="1"/>
  <c r="F114" i="9"/>
  <c r="F101" i="9"/>
  <c r="F51" i="9"/>
  <c r="T25" i="9"/>
  <c r="U25" i="9" s="1"/>
  <c r="D21" i="9"/>
  <c r="D34" i="9" s="1"/>
  <c r="D47" i="9" s="1"/>
  <c r="D60" i="9" s="1"/>
  <c r="D73" i="9" s="1"/>
  <c r="D86" i="9" s="1"/>
  <c r="D99" i="9" s="1"/>
  <c r="D112" i="9" s="1"/>
  <c r="D125" i="9" s="1"/>
  <c r="O8" i="9"/>
  <c r="O98" i="9"/>
  <c r="F65" i="9"/>
  <c r="F52" i="9"/>
  <c r="F33" i="9"/>
  <c r="D29" i="9"/>
  <c r="D42" i="9" s="1"/>
  <c r="D55" i="9" s="1"/>
  <c r="D68" i="9" s="1"/>
  <c r="D81" i="9" s="1"/>
  <c r="D94" i="9" s="1"/>
  <c r="D107" i="9" s="1"/>
  <c r="D120" i="9" s="1"/>
  <c r="D133" i="9" s="1"/>
  <c r="K12" i="9"/>
  <c r="L12" i="9" s="1"/>
  <c r="M12" i="9" s="1"/>
  <c r="L8" i="9"/>
  <c r="P6" i="9"/>
  <c r="F111" i="9"/>
  <c r="T103" i="9"/>
  <c r="U103" i="9" s="1"/>
  <c r="I85" i="9"/>
  <c r="I73" i="9"/>
  <c r="Q38" i="9"/>
  <c r="R38" i="9" s="1"/>
  <c r="I8" i="9"/>
  <c r="O6" i="9"/>
  <c r="D27" i="9"/>
  <c r="D40" i="9" s="1"/>
  <c r="D53" i="9" s="1"/>
  <c r="D66" i="9" s="1"/>
  <c r="D79" i="9" s="1"/>
  <c r="D92" i="9" s="1"/>
  <c r="D105" i="9" s="1"/>
  <c r="D118" i="9" s="1"/>
  <c r="D131" i="9" s="1"/>
  <c r="Q25" i="9"/>
  <c r="R25" i="9" s="1"/>
  <c r="N103" i="9"/>
  <c r="O103" i="9" s="1"/>
  <c r="L98" i="9"/>
  <c r="F91" i="9"/>
  <c r="F98" i="9"/>
  <c r="Q77" i="9"/>
  <c r="R77" i="9" s="1"/>
  <c r="O72" i="9"/>
  <c r="F62" i="9"/>
  <c r="Q51" i="9"/>
  <c r="R51" i="9" s="1"/>
  <c r="N38" i="9"/>
  <c r="O38" i="9" s="1"/>
  <c r="T51" i="9"/>
  <c r="U51" i="9" s="1"/>
  <c r="H25" i="9"/>
  <c r="I25" i="9" s="1"/>
  <c r="Q12" i="9"/>
  <c r="R12" i="9" s="1"/>
  <c r="D97" i="9"/>
  <c r="O85" i="9"/>
  <c r="D19" i="9"/>
  <c r="K51" i="9"/>
  <c r="L51" i="9" s="1"/>
  <c r="D24" i="9"/>
  <c r="D37" i="9" s="1"/>
  <c r="D50" i="9" s="1"/>
  <c r="D63" i="9" s="1"/>
  <c r="D76" i="9" s="1"/>
  <c r="D89" i="9" s="1"/>
  <c r="D102" i="9" s="1"/>
  <c r="D115" i="9" s="1"/>
  <c r="D128" i="9" s="1"/>
  <c r="F104" i="9"/>
  <c r="F88" i="9"/>
  <c r="L72" i="9"/>
  <c r="N64" i="9"/>
  <c r="O64" i="9" s="1"/>
  <c r="H51" i="9"/>
  <c r="F72" i="9"/>
  <c r="H38" i="9"/>
  <c r="I38" i="9" s="1"/>
  <c r="F36" i="9"/>
  <c r="D25" i="9"/>
  <c r="D38" i="9" s="1"/>
  <c r="D51" i="9" s="1"/>
  <c r="D64" i="9" s="1"/>
  <c r="D77" i="9" s="1"/>
  <c r="D90" i="9" s="1"/>
  <c r="D103" i="9" s="1"/>
  <c r="D116" i="9" s="1"/>
  <c r="D129" i="9" s="1"/>
  <c r="N51" i="9"/>
  <c r="O51" i="9" s="1"/>
  <c r="F59" i="9"/>
  <c r="I72" i="9"/>
  <c r="H77" i="9"/>
  <c r="I77" i="9" s="1"/>
  <c r="T116" i="9"/>
  <c r="K38" i="3"/>
  <c r="O86" i="9"/>
  <c r="K25" i="9"/>
  <c r="L25" i="9" s="1"/>
  <c r="D30" i="9"/>
  <c r="D43" i="9" s="1"/>
  <c r="D56" i="9" s="1"/>
  <c r="D69" i="9" s="1"/>
  <c r="D82" i="9" s="1"/>
  <c r="D95" i="9" s="1"/>
  <c r="D108" i="9" s="1"/>
  <c r="D121" i="9" s="1"/>
  <c r="D134" i="9" s="1"/>
  <c r="D45" i="9"/>
  <c r="D110" i="9"/>
  <c r="L7" i="9"/>
  <c r="L38" i="3" l="1"/>
  <c r="M38" i="3" s="1"/>
  <c r="N38" i="3" s="1"/>
  <c r="O38" i="3" s="1"/>
  <c r="P38" i="3" s="1"/>
  <c r="Q38" i="3" s="1"/>
  <c r="R38" i="3" s="1"/>
  <c r="S38" i="3" s="1"/>
  <c r="T38" i="3" s="1"/>
  <c r="U38" i="3" s="1"/>
  <c r="V38" i="3" s="1"/>
  <c r="W38" i="3" s="1"/>
  <c r="X38" i="3" s="1"/>
  <c r="Y38" i="3" s="1"/>
  <c r="Z38" i="3" s="1"/>
  <c r="AA38" i="3" s="1"/>
  <c r="AB38" i="3" s="1"/>
  <c r="AC38" i="3" s="1"/>
  <c r="AD38" i="3" s="1"/>
  <c r="AE38" i="3" s="1"/>
  <c r="AF38" i="3" s="1"/>
  <c r="AG38" i="3" s="1"/>
  <c r="AH38" i="3" s="1"/>
  <c r="AI38" i="3" s="1"/>
  <c r="AJ38" i="3" s="1"/>
  <c r="AK38" i="3" s="1"/>
  <c r="AL38" i="3" s="1"/>
  <c r="AM38" i="3" s="1"/>
  <c r="I46" i="3"/>
  <c r="H39" i="3" s="1"/>
  <c r="U116" i="9"/>
  <c r="O116" i="9"/>
  <c r="AN38" i="3"/>
  <c r="O77" i="9"/>
  <c r="I90" i="9"/>
  <c r="U77" i="9"/>
  <c r="R90" i="9"/>
  <c r="L77" i="9"/>
  <c r="I64" i="9"/>
  <c r="I51" i="9"/>
  <c r="L38" i="9"/>
  <c r="P12" i="9"/>
  <c r="S12" i="9" s="1"/>
  <c r="V12" i="9" s="1"/>
  <c r="I35" i="3"/>
  <c r="Q6" i="9"/>
  <c r="S6" i="9"/>
  <c r="R6" i="9"/>
  <c r="J46" i="3" l="1"/>
  <c r="K46" i="3" s="1"/>
  <c r="L46" i="3" s="1"/>
  <c r="M46" i="3" s="1"/>
  <c r="N46" i="3" s="1"/>
  <c r="O46" i="3" s="1"/>
  <c r="P46" i="3" s="1"/>
  <c r="Q46" i="3" s="1"/>
  <c r="R46" i="3" s="1"/>
  <c r="S46" i="3" s="1"/>
  <c r="T46" i="3" s="1"/>
  <c r="U46" i="3" s="1"/>
  <c r="V46" i="3" s="1"/>
  <c r="W46" i="3" s="1"/>
  <c r="X46" i="3" s="1"/>
  <c r="Y46" i="3" s="1"/>
  <c r="Z46" i="3" s="1"/>
  <c r="AA46" i="3" s="1"/>
  <c r="AB46" i="3" s="1"/>
  <c r="AC46" i="3" s="1"/>
  <c r="AD46" i="3" s="1"/>
  <c r="AE46" i="3" s="1"/>
  <c r="AF46" i="3" s="1"/>
  <c r="AG46" i="3" s="1"/>
  <c r="AH46" i="3" s="1"/>
  <c r="AI46" i="3" s="1"/>
  <c r="AJ46" i="3" s="1"/>
  <c r="AK46" i="3" s="1"/>
  <c r="AL46" i="3" s="1"/>
  <c r="AM46" i="3" s="1"/>
  <c r="H60" i="3"/>
  <c r="H41" i="3"/>
  <c r="I50" i="3"/>
  <c r="J50" i="3" s="1"/>
  <c r="J57" i="3" s="1"/>
  <c r="I39" i="3"/>
  <c r="J39" i="3" s="1"/>
  <c r="K39" i="3" s="1"/>
  <c r="G7" i="9"/>
  <c r="H13" i="9" s="1"/>
  <c r="I13" i="9" s="1"/>
  <c r="H44" i="3"/>
  <c r="H59" i="3" s="1"/>
  <c r="AO38" i="3"/>
  <c r="V6" i="9"/>
  <c r="G19" i="9" s="1"/>
  <c r="T6" i="9"/>
  <c r="U6" i="9"/>
  <c r="AN46" i="3" l="1"/>
  <c r="H61" i="3"/>
  <c r="H65" i="3" s="1"/>
  <c r="K50" i="3"/>
  <c r="K57" i="3" s="1"/>
  <c r="G10" i="9"/>
  <c r="H14" i="9" s="1"/>
  <c r="H16" i="9" s="1"/>
  <c r="I16" i="9" s="1"/>
  <c r="J16" i="9" s="1"/>
  <c r="K13" i="9"/>
  <c r="N13" i="9" s="1"/>
  <c r="I51" i="3"/>
  <c r="I44" i="3"/>
  <c r="I59" i="3" s="1"/>
  <c r="H10" i="9" s="1"/>
  <c r="H42" i="3"/>
  <c r="H43" i="3" s="1"/>
  <c r="I40" i="3"/>
  <c r="J40" i="3" s="1"/>
  <c r="J41" i="3" s="1"/>
  <c r="H8" i="9"/>
  <c r="J7" i="9"/>
  <c r="M7" i="9" s="1"/>
  <c r="P7" i="9" s="1"/>
  <c r="R7" i="9" s="1"/>
  <c r="R8" i="9" s="1"/>
  <c r="J8" i="9"/>
  <c r="I57" i="3"/>
  <c r="G11" i="9"/>
  <c r="AP38" i="3"/>
  <c r="H19" i="9"/>
  <c r="I19" i="9"/>
  <c r="J19" i="9"/>
  <c r="G25" i="9"/>
  <c r="J25" i="9" s="1"/>
  <c r="M25" i="9" s="1"/>
  <c r="P25" i="9" s="1"/>
  <c r="S25" i="9" s="1"/>
  <c r="V25" i="9" s="1"/>
  <c r="L39" i="3"/>
  <c r="J13" i="9"/>
  <c r="AO46" i="3" l="1"/>
  <c r="J10" i="9"/>
  <c r="K14" i="9" s="1"/>
  <c r="L14" i="9" s="1"/>
  <c r="L13" i="9"/>
  <c r="L50" i="3"/>
  <c r="M50" i="3" s="1"/>
  <c r="H66" i="3"/>
  <c r="G17" i="9"/>
  <c r="M8" i="9"/>
  <c r="I14" i="9"/>
  <c r="J14" i="9" s="1"/>
  <c r="K8" i="9"/>
  <c r="I52" i="3"/>
  <c r="I53" i="3" s="1"/>
  <c r="I54" i="3" s="1"/>
  <c r="I64" i="3" s="1"/>
  <c r="K40" i="3"/>
  <c r="K41" i="3" s="1"/>
  <c r="I41" i="3"/>
  <c r="I42" i="3" s="1"/>
  <c r="J52" i="3" s="1"/>
  <c r="J51" i="3"/>
  <c r="J44" i="3"/>
  <c r="J59" i="3" s="1"/>
  <c r="K10" i="9" s="1"/>
  <c r="AQ38" i="3"/>
  <c r="L19" i="9"/>
  <c r="M19" i="9"/>
  <c r="K19" i="9"/>
  <c r="F7" i="9"/>
  <c r="F13" i="9"/>
  <c r="F20" i="9"/>
  <c r="F26" i="9"/>
  <c r="N8" i="9"/>
  <c r="Q13" i="9"/>
  <c r="O13" i="9"/>
  <c r="M39" i="3"/>
  <c r="S7" i="9"/>
  <c r="U7" i="9" s="1"/>
  <c r="U8" i="9" s="1"/>
  <c r="AP46" i="3" l="1"/>
  <c r="M14" i="9"/>
  <c r="M10" i="9"/>
  <c r="N14" i="9" s="1"/>
  <c r="O14" i="9" s="1"/>
  <c r="N50" i="3"/>
  <c r="I11" i="9"/>
  <c r="I17" i="9" s="1"/>
  <c r="M13" i="9"/>
  <c r="P8" i="9"/>
  <c r="H68" i="3"/>
  <c r="H28" i="3" s="1"/>
  <c r="I63" i="3"/>
  <c r="M57" i="3"/>
  <c r="L57" i="3"/>
  <c r="I56" i="3"/>
  <c r="L40" i="3"/>
  <c r="M40" i="3" s="1"/>
  <c r="M41" i="3" s="1"/>
  <c r="K44" i="3"/>
  <c r="L44" i="3" s="1"/>
  <c r="M44" i="3" s="1"/>
  <c r="J53" i="3"/>
  <c r="J54" i="3" s="1"/>
  <c r="J64" i="3" s="1"/>
  <c r="I58" i="3"/>
  <c r="I43" i="3"/>
  <c r="J42" i="3"/>
  <c r="K51" i="3"/>
  <c r="AR38" i="3"/>
  <c r="AS38" i="3" s="1"/>
  <c r="P19" i="9"/>
  <c r="O19" i="9"/>
  <c r="N19" i="9"/>
  <c r="Q8" i="9"/>
  <c r="T13" i="9"/>
  <c r="R13" i="9"/>
  <c r="N39" i="3"/>
  <c r="V7" i="9"/>
  <c r="K52" i="3" l="1"/>
  <c r="AQ46" i="3"/>
  <c r="P14" i="9"/>
  <c r="N57" i="3"/>
  <c r="O50" i="3"/>
  <c r="P13" i="9"/>
  <c r="S8" i="9"/>
  <c r="L41" i="3"/>
  <c r="N40" i="3"/>
  <c r="I61" i="3"/>
  <c r="I65" i="3" s="1"/>
  <c r="I66" i="3" s="1"/>
  <c r="J11" i="9" s="1"/>
  <c r="H11" i="9" s="1"/>
  <c r="H9" i="9" s="1"/>
  <c r="J56" i="3"/>
  <c r="K53" i="3"/>
  <c r="K54" i="3" s="1"/>
  <c r="K64" i="3" s="1"/>
  <c r="L59" i="3"/>
  <c r="Q10" i="9" s="1"/>
  <c r="K42" i="3"/>
  <c r="K43" i="3" s="1"/>
  <c r="K59" i="3"/>
  <c r="N10" i="9" s="1"/>
  <c r="P10" i="9" s="1"/>
  <c r="Q14" i="9" s="1"/>
  <c r="R14" i="9" s="1"/>
  <c r="J43" i="3"/>
  <c r="J58" i="3"/>
  <c r="M51" i="3"/>
  <c r="L51" i="3"/>
  <c r="AT38" i="3"/>
  <c r="S19" i="9"/>
  <c r="R19" i="9"/>
  <c r="Q19" i="9"/>
  <c r="O39" i="3"/>
  <c r="P39" i="3" s="1"/>
  <c r="G20" i="9"/>
  <c r="I20" i="9" s="1"/>
  <c r="I21" i="9" s="1"/>
  <c r="M59" i="3"/>
  <c r="T10" i="9" s="1"/>
  <c r="N51" i="3"/>
  <c r="N44" i="3"/>
  <c r="M42" i="3"/>
  <c r="M43" i="3" s="1"/>
  <c r="U13" i="9"/>
  <c r="H26" i="9"/>
  <c r="T8" i="9"/>
  <c r="K58" i="3" l="1"/>
  <c r="AR46" i="3"/>
  <c r="AS46" i="3" s="1"/>
  <c r="P50" i="3"/>
  <c r="Q50" i="3" s="1"/>
  <c r="R50" i="3" s="1"/>
  <c r="S50" i="3" s="1"/>
  <c r="T50" i="3" s="1"/>
  <c r="U50" i="3" s="1"/>
  <c r="V50" i="3" s="1"/>
  <c r="W50" i="3" s="1"/>
  <c r="X50" i="3" s="1"/>
  <c r="Y50" i="3" s="1"/>
  <c r="Z50" i="3" s="1"/>
  <c r="AA50" i="3" s="1"/>
  <c r="AB50" i="3" s="1"/>
  <c r="AC50" i="3" s="1"/>
  <c r="AD50" i="3" s="1"/>
  <c r="AE50" i="3" s="1"/>
  <c r="AF50" i="3" s="1"/>
  <c r="AG50" i="3" s="1"/>
  <c r="AH50" i="3" s="1"/>
  <c r="O57" i="3"/>
  <c r="V8" i="9"/>
  <c r="G21" i="9" s="1"/>
  <c r="S13" i="9"/>
  <c r="J61" i="3"/>
  <c r="J65" i="3" s="1"/>
  <c r="L42" i="3"/>
  <c r="L43" i="3" s="1"/>
  <c r="N41" i="3"/>
  <c r="O40" i="3"/>
  <c r="K56" i="3"/>
  <c r="S14" i="9"/>
  <c r="S10" i="9"/>
  <c r="T14" i="9" s="1"/>
  <c r="U14" i="9" s="1"/>
  <c r="L52" i="3"/>
  <c r="L53" i="3" s="1"/>
  <c r="L54" i="3" s="1"/>
  <c r="L64" i="3" s="1"/>
  <c r="I68" i="3"/>
  <c r="J68" i="3"/>
  <c r="J63" i="3"/>
  <c r="AU38" i="3"/>
  <c r="Q39" i="3"/>
  <c r="R39" i="3" s="1"/>
  <c r="S39" i="3" s="1"/>
  <c r="T39" i="3" s="1"/>
  <c r="U19" i="9"/>
  <c r="V19" i="9"/>
  <c r="T19" i="9"/>
  <c r="J9" i="9"/>
  <c r="H17" i="9"/>
  <c r="J20" i="9"/>
  <c r="L20" i="9" s="1"/>
  <c r="L21" i="9" s="1"/>
  <c r="K26" i="9"/>
  <c r="I26" i="9"/>
  <c r="H21" i="9"/>
  <c r="N52" i="3"/>
  <c r="N53" i="3" s="1"/>
  <c r="N54" i="3" s="1"/>
  <c r="O51" i="3"/>
  <c r="N59" i="3"/>
  <c r="H23" i="9" s="1"/>
  <c r="O44" i="3"/>
  <c r="V57" i="3" l="1"/>
  <c r="U57" i="3"/>
  <c r="T57" i="3"/>
  <c r="S57" i="3"/>
  <c r="AT46" i="3"/>
  <c r="AI50" i="3"/>
  <c r="AG57" i="3"/>
  <c r="AC57" i="3"/>
  <c r="AB57" i="3"/>
  <c r="AA57" i="3"/>
  <c r="Z57" i="3"/>
  <c r="Y57" i="3"/>
  <c r="X57" i="3"/>
  <c r="W57" i="3"/>
  <c r="Q57" i="3"/>
  <c r="AF57" i="3"/>
  <c r="AE57" i="3"/>
  <c r="AD57" i="3"/>
  <c r="AH57" i="3"/>
  <c r="R57" i="3"/>
  <c r="P40" i="3"/>
  <c r="Q40" i="3" s="1"/>
  <c r="R40" i="3" s="1"/>
  <c r="S40" i="3" s="1"/>
  <c r="T40" i="3" s="1"/>
  <c r="U40" i="3" s="1"/>
  <c r="V40" i="3" s="1"/>
  <c r="W40" i="3" s="1"/>
  <c r="X40" i="3" s="1"/>
  <c r="Y40" i="3" s="1"/>
  <c r="Z40" i="3" s="1"/>
  <c r="AA40" i="3" s="1"/>
  <c r="AB40" i="3" s="1"/>
  <c r="AC40" i="3" s="1"/>
  <c r="AD40" i="3" s="1"/>
  <c r="AE40" i="3" s="1"/>
  <c r="AF40" i="3" s="1"/>
  <c r="AG40" i="3" s="1"/>
  <c r="AH40" i="3" s="1"/>
  <c r="J21" i="9"/>
  <c r="P57" i="3"/>
  <c r="L58" i="3"/>
  <c r="M52" i="3"/>
  <c r="M53" i="3" s="1"/>
  <c r="M54" i="3" s="1"/>
  <c r="M56" i="3" s="1"/>
  <c r="K61" i="3"/>
  <c r="K65" i="3" s="1"/>
  <c r="J66" i="3"/>
  <c r="K68" i="3" s="1"/>
  <c r="V13" i="9"/>
  <c r="G26" i="9" s="1"/>
  <c r="M58" i="3"/>
  <c r="N42" i="3"/>
  <c r="N58" i="3" s="1"/>
  <c r="O41" i="3"/>
  <c r="L56" i="3"/>
  <c r="V10" i="9"/>
  <c r="G23" i="9" s="1"/>
  <c r="H27" i="9" s="1"/>
  <c r="I27" i="9" s="1"/>
  <c r="V14" i="9"/>
  <c r="G27" i="9" s="1"/>
  <c r="AV38" i="3"/>
  <c r="U39" i="3"/>
  <c r="F10" i="9"/>
  <c r="F11" i="9"/>
  <c r="F23" i="9"/>
  <c r="F24" i="9"/>
  <c r="G32" i="9"/>
  <c r="N64" i="3"/>
  <c r="N56" i="3"/>
  <c r="L26" i="9"/>
  <c r="K21" i="9"/>
  <c r="N26" i="9"/>
  <c r="Q26" i="9" s="1"/>
  <c r="T26" i="9" s="1"/>
  <c r="H39" i="9" s="1"/>
  <c r="K39" i="9" s="1"/>
  <c r="N39" i="9" s="1"/>
  <c r="Q39" i="9" s="1"/>
  <c r="T39" i="9" s="1"/>
  <c r="H52" i="9" s="1"/>
  <c r="K52" i="9" s="1"/>
  <c r="N52" i="9" s="1"/>
  <c r="Q52" i="9" s="1"/>
  <c r="T52" i="9" s="1"/>
  <c r="H65" i="9" s="1"/>
  <c r="K65" i="9" s="1"/>
  <c r="N65" i="9" s="1"/>
  <c r="Q65" i="9" s="1"/>
  <c r="T65" i="9" s="1"/>
  <c r="H78" i="9" s="1"/>
  <c r="M20" i="9"/>
  <c r="O59" i="3"/>
  <c r="K23" i="9" s="1"/>
  <c r="P51" i="3"/>
  <c r="P44" i="3"/>
  <c r="K15" i="9"/>
  <c r="J17" i="9"/>
  <c r="AU46" i="3" l="1"/>
  <c r="AI57" i="3"/>
  <c r="AJ50" i="3"/>
  <c r="AI40" i="3"/>
  <c r="T41" i="3"/>
  <c r="S41" i="3"/>
  <c r="R41" i="3"/>
  <c r="P41" i="3"/>
  <c r="Q41" i="3"/>
  <c r="M21" i="9"/>
  <c r="L61" i="3"/>
  <c r="L65" i="3" s="1"/>
  <c r="M64" i="3"/>
  <c r="M11" i="9"/>
  <c r="K63" i="3"/>
  <c r="K66" i="3" s="1"/>
  <c r="J26" i="9"/>
  <c r="N43" i="3"/>
  <c r="M61" i="3"/>
  <c r="M65" i="3" s="1"/>
  <c r="N61" i="3"/>
  <c r="O52" i="3"/>
  <c r="O42" i="3"/>
  <c r="O58" i="3" s="1"/>
  <c r="J23" i="9"/>
  <c r="K27" i="9" s="1"/>
  <c r="L27" i="9" s="1"/>
  <c r="J27" i="9"/>
  <c r="AW38" i="3"/>
  <c r="H73" i="9"/>
  <c r="K78" i="9"/>
  <c r="I78" i="9"/>
  <c r="T60" i="9"/>
  <c r="U65" i="9"/>
  <c r="Q60" i="9"/>
  <c r="R65" i="9"/>
  <c r="O65" i="9"/>
  <c r="N60" i="9"/>
  <c r="L65" i="9"/>
  <c r="K60" i="9"/>
  <c r="I65" i="9"/>
  <c r="H60" i="9"/>
  <c r="U52" i="9"/>
  <c r="T47" i="9"/>
  <c r="Q47" i="9"/>
  <c r="R52" i="9"/>
  <c r="N47" i="9"/>
  <c r="O52" i="9"/>
  <c r="K47" i="9"/>
  <c r="L52" i="9"/>
  <c r="I52" i="9"/>
  <c r="H47" i="9"/>
  <c r="U39" i="9"/>
  <c r="T34" i="9"/>
  <c r="U41" i="3"/>
  <c r="V39" i="3"/>
  <c r="R39" i="9"/>
  <c r="Q34" i="9"/>
  <c r="O39" i="9"/>
  <c r="N34" i="9"/>
  <c r="L39" i="9"/>
  <c r="K34" i="9"/>
  <c r="I39" i="9"/>
  <c r="H34" i="9"/>
  <c r="T21" i="9"/>
  <c r="U26" i="9"/>
  <c r="Q44" i="3"/>
  <c r="Q51" i="3"/>
  <c r="R26" i="9"/>
  <c r="Q21" i="9"/>
  <c r="F12" i="9"/>
  <c r="F25" i="9"/>
  <c r="H32" i="9"/>
  <c r="J32" i="9"/>
  <c r="I32" i="9"/>
  <c r="G38" i="9"/>
  <c r="J38" i="9" s="1"/>
  <c r="M38" i="9" s="1"/>
  <c r="P38" i="9" s="1"/>
  <c r="S38" i="9" s="1"/>
  <c r="V38" i="9" s="1"/>
  <c r="O20" i="9"/>
  <c r="O26" i="9"/>
  <c r="N21" i="9"/>
  <c r="L15" i="9"/>
  <c r="K16" i="9"/>
  <c r="P59" i="3"/>
  <c r="N23" i="9" s="1"/>
  <c r="AV46" i="3" l="1"/>
  <c r="P42" i="3"/>
  <c r="AJ57" i="3"/>
  <c r="AK50" i="3"/>
  <c r="AJ40" i="3"/>
  <c r="L63" i="3"/>
  <c r="L66" i="3" s="1"/>
  <c r="L68" i="3"/>
  <c r="M26" i="9"/>
  <c r="P11" i="9"/>
  <c r="M23" i="9"/>
  <c r="N27" i="9" s="1"/>
  <c r="O27" i="9" s="1"/>
  <c r="O53" i="3"/>
  <c r="O54" i="3" s="1"/>
  <c r="P52" i="3"/>
  <c r="P53" i="3" s="1"/>
  <c r="P54" i="3" s="1"/>
  <c r="O43" i="3"/>
  <c r="N65" i="3"/>
  <c r="M27" i="9"/>
  <c r="AX38" i="3"/>
  <c r="AW46" i="3"/>
  <c r="N78" i="9"/>
  <c r="L78" i="9"/>
  <c r="K73" i="9"/>
  <c r="V41" i="3"/>
  <c r="W39" i="3"/>
  <c r="R51" i="3"/>
  <c r="R44" i="3"/>
  <c r="Q42" i="3"/>
  <c r="Q59" i="3"/>
  <c r="Q23" i="9" s="1"/>
  <c r="M32" i="9"/>
  <c r="L32" i="9"/>
  <c r="K32" i="9"/>
  <c r="O21" i="9"/>
  <c r="P21" i="9" s="1"/>
  <c r="L16" i="9"/>
  <c r="L11" i="9" s="1"/>
  <c r="P20" i="9"/>
  <c r="M15" i="9"/>
  <c r="Q52" i="3" l="1"/>
  <c r="Q53" i="3" s="1"/>
  <c r="Q54" i="3" s="1"/>
  <c r="P43" i="3"/>
  <c r="P58" i="3"/>
  <c r="AL50" i="3"/>
  <c r="AK57" i="3"/>
  <c r="AK40" i="3"/>
  <c r="P23" i="9"/>
  <c r="M68" i="3"/>
  <c r="P27" i="9"/>
  <c r="P26" i="9"/>
  <c r="S26" i="9" s="1"/>
  <c r="V26" i="9" s="1"/>
  <c r="G39" i="9" s="1"/>
  <c r="J39" i="9" s="1"/>
  <c r="M39" i="9" s="1"/>
  <c r="P39" i="9" s="1"/>
  <c r="S39" i="9" s="1"/>
  <c r="V39" i="9" s="1"/>
  <c r="M63" i="3"/>
  <c r="M66" i="3" s="1"/>
  <c r="S11" i="9"/>
  <c r="P64" i="3"/>
  <c r="P56" i="3"/>
  <c r="O64" i="3"/>
  <c r="O56" i="3"/>
  <c r="O61" i="3" s="1"/>
  <c r="AY38" i="3"/>
  <c r="AX46" i="3"/>
  <c r="N73" i="9"/>
  <c r="Q78" i="9"/>
  <c r="O78" i="9"/>
  <c r="W41" i="3"/>
  <c r="X39" i="3"/>
  <c r="S44" i="3"/>
  <c r="S51" i="3"/>
  <c r="Q43" i="3"/>
  <c r="R52" i="3"/>
  <c r="R53" i="3" s="1"/>
  <c r="R42" i="3"/>
  <c r="R59" i="3"/>
  <c r="T23" i="9" s="1"/>
  <c r="R20" i="9"/>
  <c r="S20" i="9" s="1"/>
  <c r="Q27" i="9"/>
  <c r="S23" i="9"/>
  <c r="Q58" i="3"/>
  <c r="N32" i="9"/>
  <c r="O32" i="9"/>
  <c r="P32" i="9"/>
  <c r="M16" i="9"/>
  <c r="L17" i="9"/>
  <c r="K11" i="9"/>
  <c r="K9" i="9" s="1"/>
  <c r="Q64" i="3" l="1"/>
  <c r="Q56" i="3"/>
  <c r="AM50" i="3"/>
  <c r="AL40" i="3"/>
  <c r="AL57" i="3"/>
  <c r="N68" i="3"/>
  <c r="P61" i="3"/>
  <c r="P65" i="3" s="1"/>
  <c r="V11" i="9"/>
  <c r="N63" i="3"/>
  <c r="N66" i="3" s="1"/>
  <c r="O65" i="3"/>
  <c r="AZ38" i="3"/>
  <c r="AY46" i="3"/>
  <c r="Q73" i="9"/>
  <c r="T78" i="9"/>
  <c r="R78" i="9"/>
  <c r="X41" i="3"/>
  <c r="Y39" i="3"/>
  <c r="R54" i="3"/>
  <c r="T44" i="3"/>
  <c r="T51" i="3"/>
  <c r="R43" i="3"/>
  <c r="S52" i="3"/>
  <c r="S53" i="3" s="1"/>
  <c r="S42" i="3"/>
  <c r="S59" i="3"/>
  <c r="H36" i="9" s="1"/>
  <c r="U20" i="9"/>
  <c r="V20" i="9" s="1"/>
  <c r="R58" i="3"/>
  <c r="V23" i="9"/>
  <c r="T27" i="9"/>
  <c r="R27" i="9"/>
  <c r="R21" i="9"/>
  <c r="S21" i="9" s="1"/>
  <c r="Q61" i="3"/>
  <c r="Q65" i="3" s="1"/>
  <c r="R32" i="9"/>
  <c r="S32" i="9"/>
  <c r="Q32" i="9"/>
  <c r="K17" i="9"/>
  <c r="M9" i="9"/>
  <c r="AM57" i="3" l="1"/>
  <c r="AN50" i="3"/>
  <c r="AM40" i="3"/>
  <c r="J24" i="9"/>
  <c r="O63" i="3"/>
  <c r="O68" i="3"/>
  <c r="G24" i="9"/>
  <c r="BA38" i="3"/>
  <c r="AZ46" i="3"/>
  <c r="T73" i="9"/>
  <c r="U78" i="9"/>
  <c r="H91" i="9"/>
  <c r="Y41" i="3"/>
  <c r="Z39" i="3"/>
  <c r="R56" i="3"/>
  <c r="R61" i="3" s="1"/>
  <c r="R65" i="3" s="1"/>
  <c r="R64" i="3"/>
  <c r="U44" i="3"/>
  <c r="U51" i="3"/>
  <c r="S43" i="3"/>
  <c r="T52" i="3"/>
  <c r="T42" i="3"/>
  <c r="T59" i="3"/>
  <c r="K36" i="9" s="1"/>
  <c r="I33" i="9"/>
  <c r="G33" i="9"/>
  <c r="S54" i="3"/>
  <c r="S58" i="3"/>
  <c r="H40" i="9"/>
  <c r="G36" i="9"/>
  <c r="J36" i="9" s="1"/>
  <c r="U21" i="9"/>
  <c r="V21" i="9" s="1"/>
  <c r="G34" i="9" s="1"/>
  <c r="U27" i="9"/>
  <c r="S27" i="9"/>
  <c r="T32" i="9"/>
  <c r="V32" i="9"/>
  <c r="U32" i="9"/>
  <c r="N15" i="9"/>
  <c r="M17" i="9"/>
  <c r="AO50" i="3" l="1"/>
  <c r="AN57" i="3"/>
  <c r="AN40" i="3"/>
  <c r="O66" i="3"/>
  <c r="P68" i="3" s="1"/>
  <c r="BB38" i="3"/>
  <c r="BA46" i="3"/>
  <c r="H86" i="9"/>
  <c r="K91" i="9"/>
  <c r="I91" i="9"/>
  <c r="Z41" i="3"/>
  <c r="AA39" i="3"/>
  <c r="V27" i="9"/>
  <c r="G40" i="9" s="1"/>
  <c r="V44" i="3"/>
  <c r="V51" i="3"/>
  <c r="T43" i="3"/>
  <c r="U52" i="3"/>
  <c r="U53" i="3" s="1"/>
  <c r="U59" i="3"/>
  <c r="N36" i="9" s="1"/>
  <c r="U42" i="3"/>
  <c r="M36" i="9"/>
  <c r="K40" i="9"/>
  <c r="T53" i="3"/>
  <c r="T54" i="3" s="1"/>
  <c r="T58" i="3"/>
  <c r="I40" i="9"/>
  <c r="S56" i="3"/>
  <c r="S61" i="3" s="1"/>
  <c r="S64" i="3"/>
  <c r="I34" i="9"/>
  <c r="J34" i="9"/>
  <c r="J33" i="9"/>
  <c r="G45" i="9"/>
  <c r="O15" i="9"/>
  <c r="P15" i="9" s="1"/>
  <c r="N16" i="9"/>
  <c r="AO40" i="3" l="1"/>
  <c r="AO57" i="3"/>
  <c r="AP50" i="3"/>
  <c r="M24" i="9"/>
  <c r="P63" i="3"/>
  <c r="BC38" i="3"/>
  <c r="BB46" i="3"/>
  <c r="L91" i="9"/>
  <c r="N91" i="9"/>
  <c r="K86" i="9"/>
  <c r="AA41" i="3"/>
  <c r="AB39" i="3"/>
  <c r="J40" i="9"/>
  <c r="W44" i="3"/>
  <c r="W51" i="3"/>
  <c r="U43" i="3"/>
  <c r="V52" i="3"/>
  <c r="V53" i="3" s="1"/>
  <c r="V54" i="3" s="1"/>
  <c r="V42" i="3"/>
  <c r="V59" i="3"/>
  <c r="Q36" i="9" s="1"/>
  <c r="U54" i="3"/>
  <c r="U56" i="3" s="1"/>
  <c r="P36" i="9"/>
  <c r="N40" i="9"/>
  <c r="U58" i="3"/>
  <c r="T56" i="3"/>
  <c r="T61" i="3" s="1"/>
  <c r="T65" i="3" s="1"/>
  <c r="T64" i="3"/>
  <c r="L40" i="9"/>
  <c r="L33" i="9"/>
  <c r="M33" i="9" s="1"/>
  <c r="S65" i="3"/>
  <c r="I45" i="9"/>
  <c r="H45" i="9"/>
  <c r="J45" i="9"/>
  <c r="G51" i="9"/>
  <c r="J51" i="9" s="1"/>
  <c r="M51" i="9" s="1"/>
  <c r="P51" i="9" s="1"/>
  <c r="S51" i="9" s="1"/>
  <c r="V51" i="9" s="1"/>
  <c r="G52" i="9"/>
  <c r="J52" i="9" s="1"/>
  <c r="M52" i="9" s="1"/>
  <c r="P52" i="9" s="1"/>
  <c r="S52" i="9" s="1"/>
  <c r="V52" i="9" s="1"/>
  <c r="O16" i="9"/>
  <c r="P16" i="9" s="1"/>
  <c r="AP57" i="3" l="1"/>
  <c r="AQ50" i="3"/>
  <c r="AP40" i="3"/>
  <c r="P66" i="3"/>
  <c r="BD38" i="3"/>
  <c r="BC46" i="3"/>
  <c r="N86" i="9"/>
  <c r="O91" i="9"/>
  <c r="Q91" i="9"/>
  <c r="AB41" i="3"/>
  <c r="AC39" i="3"/>
  <c r="U64" i="3"/>
  <c r="X51" i="3"/>
  <c r="X44" i="3"/>
  <c r="V43" i="3"/>
  <c r="W52" i="3"/>
  <c r="W53" i="3" s="1"/>
  <c r="W54" i="3" s="1"/>
  <c r="W59" i="3"/>
  <c r="T36" i="9" s="1"/>
  <c r="W42" i="3"/>
  <c r="V64" i="3"/>
  <c r="V56" i="3"/>
  <c r="S36" i="9"/>
  <c r="Q40" i="9"/>
  <c r="V58" i="3"/>
  <c r="O33" i="9"/>
  <c r="P33" i="9" s="1"/>
  <c r="O40" i="9"/>
  <c r="U61" i="3"/>
  <c r="U65" i="3" s="1"/>
  <c r="L34" i="9"/>
  <c r="M34" i="9" s="1"/>
  <c r="M40" i="9"/>
  <c r="P24" i="9"/>
  <c r="M45" i="9"/>
  <c r="L45" i="9"/>
  <c r="K45" i="9"/>
  <c r="O11" i="9"/>
  <c r="O17" i="9" s="1"/>
  <c r="Q63" i="3" l="1"/>
  <c r="Q68" i="3"/>
  <c r="H29" i="3"/>
  <c r="AQ40" i="3"/>
  <c r="AQ57" i="3"/>
  <c r="AR50" i="3"/>
  <c r="AS50" i="3" s="1"/>
  <c r="BD46" i="3"/>
  <c r="BD68" i="3"/>
  <c r="BD39" i="3"/>
  <c r="BD40" i="3"/>
  <c r="Q86" i="9"/>
  <c r="T91" i="9"/>
  <c r="R91" i="9"/>
  <c r="AC41" i="3"/>
  <c r="AD39" i="3"/>
  <c r="Y44" i="3"/>
  <c r="Y51" i="3"/>
  <c r="W43" i="3"/>
  <c r="X52" i="3"/>
  <c r="X53" i="3" s="1"/>
  <c r="X42" i="3"/>
  <c r="X59" i="3"/>
  <c r="H49" i="9" s="1"/>
  <c r="W64" i="3"/>
  <c r="W56" i="3"/>
  <c r="T40" i="9"/>
  <c r="V36" i="9"/>
  <c r="W58" i="3"/>
  <c r="R33" i="9"/>
  <c r="S33" i="9" s="1"/>
  <c r="R40" i="9"/>
  <c r="P40" i="9"/>
  <c r="V61" i="3"/>
  <c r="O34" i="9"/>
  <c r="P34" i="9" s="1"/>
  <c r="Q66" i="3"/>
  <c r="R68" i="3" s="1"/>
  <c r="P45" i="9"/>
  <c r="O45" i="9"/>
  <c r="N45" i="9"/>
  <c r="N11" i="9"/>
  <c r="N9" i="9" s="1"/>
  <c r="N17" i="9" s="1"/>
  <c r="AS57" i="3" l="1"/>
  <c r="AR40" i="3"/>
  <c r="AS40" i="3" s="1"/>
  <c r="AT50" i="3"/>
  <c r="AR57" i="3"/>
  <c r="BD41" i="3"/>
  <c r="U91" i="9"/>
  <c r="T86" i="9"/>
  <c r="H104" i="9"/>
  <c r="K104" i="9" s="1"/>
  <c r="S40" i="9"/>
  <c r="AD41" i="3"/>
  <c r="AE39" i="3"/>
  <c r="X54" i="3"/>
  <c r="X64" i="3" s="1"/>
  <c r="Z44" i="3"/>
  <c r="Z51" i="3"/>
  <c r="X43" i="3"/>
  <c r="Y52" i="3"/>
  <c r="Y53" i="3" s="1"/>
  <c r="Y54" i="3" s="1"/>
  <c r="Y42" i="3"/>
  <c r="Y59" i="3"/>
  <c r="K49" i="9" s="1"/>
  <c r="W61" i="3"/>
  <c r="W65" i="3" s="1"/>
  <c r="X58" i="3"/>
  <c r="H53" i="9"/>
  <c r="G49" i="9"/>
  <c r="J49" i="9" s="1"/>
  <c r="U40" i="9"/>
  <c r="U33" i="9"/>
  <c r="V33" i="9" s="1"/>
  <c r="V65" i="3"/>
  <c r="R34" i="9"/>
  <c r="S34" i="9" s="1"/>
  <c r="S24" i="9"/>
  <c r="R63" i="3"/>
  <c r="S45" i="9"/>
  <c r="Q45" i="9"/>
  <c r="R45" i="9"/>
  <c r="P9" i="9"/>
  <c r="Q15" i="9" s="1"/>
  <c r="AU50" i="3" l="1"/>
  <c r="AT40" i="3"/>
  <c r="AT57" i="3"/>
  <c r="L104" i="9"/>
  <c r="N104" i="9"/>
  <c r="K99" i="9"/>
  <c r="H99" i="9"/>
  <c r="I104" i="9"/>
  <c r="AE41" i="3"/>
  <c r="AF39" i="3"/>
  <c r="X56" i="3"/>
  <c r="X61" i="3" s="1"/>
  <c r="X65" i="3" s="1"/>
  <c r="AA51" i="3"/>
  <c r="AA44" i="3"/>
  <c r="Y43" i="3"/>
  <c r="Z52" i="3"/>
  <c r="Z59" i="3"/>
  <c r="N49" i="9" s="1"/>
  <c r="Z42" i="3"/>
  <c r="Y64" i="3"/>
  <c r="Y56" i="3"/>
  <c r="Y58" i="3"/>
  <c r="K53" i="9"/>
  <c r="M49" i="9"/>
  <c r="I46" i="9"/>
  <c r="G46" i="9"/>
  <c r="I53" i="9"/>
  <c r="U34" i="9"/>
  <c r="V40" i="9"/>
  <c r="G53" i="9" s="1"/>
  <c r="R66" i="3"/>
  <c r="S68" i="3" s="1"/>
  <c r="V45" i="9"/>
  <c r="U45" i="9"/>
  <c r="T45" i="9"/>
  <c r="P17" i="9"/>
  <c r="R15" i="9"/>
  <c r="S15" i="9" s="1"/>
  <c r="Q16" i="9"/>
  <c r="AU57" i="3" l="1"/>
  <c r="AV50" i="3"/>
  <c r="AU40" i="3"/>
  <c r="N99" i="9"/>
  <c r="Q104" i="9"/>
  <c r="O104" i="9"/>
  <c r="AF41" i="3"/>
  <c r="AG39" i="3"/>
  <c r="AB44" i="3"/>
  <c r="AB51" i="3"/>
  <c r="Z43" i="3"/>
  <c r="AA52" i="3"/>
  <c r="AA53" i="3" s="1"/>
  <c r="AA54" i="3" s="1"/>
  <c r="AA59" i="3"/>
  <c r="Q49" i="9" s="1"/>
  <c r="AA42" i="3"/>
  <c r="P49" i="9"/>
  <c r="N53" i="9"/>
  <c r="Z53" i="3"/>
  <c r="Z54" i="3" s="1"/>
  <c r="Z58" i="3"/>
  <c r="L53" i="9"/>
  <c r="Y61" i="3"/>
  <c r="J53" i="9"/>
  <c r="J46" i="9"/>
  <c r="I47" i="9"/>
  <c r="V34" i="9"/>
  <c r="G47" i="9" s="1"/>
  <c r="J47" i="9" s="1"/>
  <c r="V24" i="9"/>
  <c r="S63" i="3"/>
  <c r="G58" i="9"/>
  <c r="R16" i="9"/>
  <c r="S16" i="9" s="1"/>
  <c r="AV40" i="3" l="1"/>
  <c r="AV57" i="3"/>
  <c r="AW50" i="3"/>
  <c r="R104" i="9"/>
  <c r="Q99" i="9"/>
  <c r="T104" i="9"/>
  <c r="AG41" i="3"/>
  <c r="AH39" i="3"/>
  <c r="AC44" i="3"/>
  <c r="AC51" i="3"/>
  <c r="AB42" i="3"/>
  <c r="AB58" i="3" s="1"/>
  <c r="AB59" i="3"/>
  <c r="T49" i="9" s="1"/>
  <c r="AA43" i="3"/>
  <c r="AB52" i="3"/>
  <c r="AB53" i="3" s="1"/>
  <c r="AB54" i="3" s="1"/>
  <c r="AA64" i="3"/>
  <c r="AA56" i="3"/>
  <c r="S49" i="9"/>
  <c r="Q53" i="9"/>
  <c r="AA58" i="3"/>
  <c r="Z64" i="3"/>
  <c r="Z56" i="3"/>
  <c r="Z61" i="3" s="1"/>
  <c r="Z65" i="3" s="1"/>
  <c r="O53" i="9"/>
  <c r="L46" i="9"/>
  <c r="M46" i="9" s="1"/>
  <c r="M53" i="9"/>
  <c r="Y65" i="3"/>
  <c r="G37" i="9"/>
  <c r="S66" i="3"/>
  <c r="T68" i="3" s="1"/>
  <c r="B7" i="9"/>
  <c r="J58" i="9"/>
  <c r="I58" i="9"/>
  <c r="H58" i="9"/>
  <c r="G64" i="9"/>
  <c r="J64" i="9" s="1"/>
  <c r="M64" i="9" s="1"/>
  <c r="P64" i="9" s="1"/>
  <c r="S64" i="9" s="1"/>
  <c r="V64" i="9" s="1"/>
  <c r="G65" i="9"/>
  <c r="J65" i="9" s="1"/>
  <c r="M65" i="9" s="1"/>
  <c r="P65" i="9" s="1"/>
  <c r="S65" i="9" s="1"/>
  <c r="V65" i="9" s="1"/>
  <c r="R11" i="9"/>
  <c r="AW57" i="3" l="1"/>
  <c r="AX50" i="3"/>
  <c r="AW40" i="3"/>
  <c r="H117" i="9"/>
  <c r="U104" i="9"/>
  <c r="T99" i="9"/>
  <c r="AI39" i="3"/>
  <c r="AH41" i="3"/>
  <c r="P53" i="9"/>
  <c r="AD44" i="3"/>
  <c r="AD51" i="3"/>
  <c r="AB43" i="3"/>
  <c r="AC52" i="3"/>
  <c r="AC53" i="3" s="1"/>
  <c r="AC54" i="3" s="1"/>
  <c r="AC42" i="3"/>
  <c r="AC59" i="3"/>
  <c r="H62" i="9" s="1"/>
  <c r="AB56" i="3"/>
  <c r="AB61" i="3" s="1"/>
  <c r="AB65" i="3" s="1"/>
  <c r="AB64" i="3"/>
  <c r="T53" i="9"/>
  <c r="V49" i="9"/>
  <c r="AA61" i="3"/>
  <c r="R53" i="9"/>
  <c r="O46" i="9"/>
  <c r="L47" i="9"/>
  <c r="M47" i="9" s="1"/>
  <c r="J37" i="9"/>
  <c r="T63" i="3"/>
  <c r="K58" i="9"/>
  <c r="L58" i="9"/>
  <c r="M58" i="9"/>
  <c r="B8" i="9"/>
  <c r="B20" i="9"/>
  <c r="B33" i="9" s="1"/>
  <c r="B46" i="9" s="1"/>
  <c r="B59" i="9" s="1"/>
  <c r="B72" i="9" s="1"/>
  <c r="R17" i="9"/>
  <c r="Q11" i="9"/>
  <c r="Q9" i="9" s="1"/>
  <c r="AX57" i="3" l="1"/>
  <c r="AY50" i="3"/>
  <c r="AX40" i="3"/>
  <c r="K117" i="9"/>
  <c r="I117" i="9"/>
  <c r="H112" i="9"/>
  <c r="AJ39" i="3"/>
  <c r="AI41" i="3"/>
  <c r="B85" i="9"/>
  <c r="AE44" i="3"/>
  <c r="AE51" i="3"/>
  <c r="AC43" i="3"/>
  <c r="AD52" i="3"/>
  <c r="AD53" i="3" s="1"/>
  <c r="AD54" i="3" s="1"/>
  <c r="AD59" i="3"/>
  <c r="K62" i="9" s="1"/>
  <c r="AD42" i="3"/>
  <c r="AC64" i="3"/>
  <c r="AC56" i="3"/>
  <c r="H66" i="9"/>
  <c r="G62" i="9"/>
  <c r="J62" i="9" s="1"/>
  <c r="AC58" i="3"/>
  <c r="AA65" i="3"/>
  <c r="U53" i="9"/>
  <c r="S53" i="9"/>
  <c r="P47" i="9"/>
  <c r="O47" i="9"/>
  <c r="P46" i="9"/>
  <c r="T66" i="3"/>
  <c r="U68" i="3" s="1"/>
  <c r="B9" i="9"/>
  <c r="B21" i="9"/>
  <c r="B34" i="9" s="1"/>
  <c r="B47" i="9" s="1"/>
  <c r="B60" i="9" s="1"/>
  <c r="B73" i="9" s="1"/>
  <c r="O58" i="9"/>
  <c r="N58" i="9"/>
  <c r="P58" i="9"/>
  <c r="Q17" i="9"/>
  <c r="S9" i="9"/>
  <c r="AY57" i="3" l="1"/>
  <c r="AZ50" i="3"/>
  <c r="AY40" i="3"/>
  <c r="L117" i="9"/>
  <c r="N117" i="9"/>
  <c r="K112" i="9"/>
  <c r="B98" i="9"/>
  <c r="B111" i="9" s="1"/>
  <c r="B86" i="9"/>
  <c r="AK39" i="3"/>
  <c r="AJ41" i="3"/>
  <c r="V53" i="9"/>
  <c r="G66" i="9" s="1"/>
  <c r="AF44" i="3"/>
  <c r="AF51" i="3"/>
  <c r="AD43" i="3"/>
  <c r="AE52" i="3"/>
  <c r="AE42" i="3"/>
  <c r="AE58" i="3" s="1"/>
  <c r="AE59" i="3"/>
  <c r="N62" i="9" s="1"/>
  <c r="AD56" i="3"/>
  <c r="AD64" i="3"/>
  <c r="K66" i="9"/>
  <c r="M62" i="9"/>
  <c r="AD58" i="3"/>
  <c r="I66" i="9"/>
  <c r="AC61" i="3"/>
  <c r="R46" i="9"/>
  <c r="S46" i="9" s="1"/>
  <c r="M37" i="9"/>
  <c r="U63" i="3"/>
  <c r="Q58" i="9"/>
  <c r="R58" i="9"/>
  <c r="S58" i="9"/>
  <c r="F15" i="9"/>
  <c r="B10" i="9"/>
  <c r="B22" i="9"/>
  <c r="T15" i="9"/>
  <c r="S17" i="9"/>
  <c r="AZ57" i="3" l="1"/>
  <c r="BA50" i="3"/>
  <c r="AZ40" i="3"/>
  <c r="B124" i="9"/>
  <c r="N112" i="9"/>
  <c r="Q117" i="9"/>
  <c r="O117" i="9"/>
  <c r="B99" i="9"/>
  <c r="B112" i="9" s="1"/>
  <c r="AL39" i="3"/>
  <c r="AK41" i="3"/>
  <c r="J66" i="9"/>
  <c r="AG44" i="3"/>
  <c r="AG51" i="3"/>
  <c r="AE53" i="3"/>
  <c r="AE54" i="3" s="1"/>
  <c r="AE56" i="3" s="1"/>
  <c r="AE61" i="3" s="1"/>
  <c r="AF59" i="3"/>
  <c r="Q62" i="9" s="1"/>
  <c r="AF42" i="3"/>
  <c r="AF58" i="3" s="1"/>
  <c r="AE43" i="3"/>
  <c r="AF52" i="3"/>
  <c r="N66" i="9"/>
  <c r="P62" i="9"/>
  <c r="L66" i="9"/>
  <c r="AD61" i="3"/>
  <c r="AD65" i="3" s="1"/>
  <c r="AC65" i="3"/>
  <c r="U46" i="9"/>
  <c r="V46" i="9" s="1"/>
  <c r="R47" i="9"/>
  <c r="S47" i="9" s="1"/>
  <c r="U66" i="3"/>
  <c r="V68" i="3" s="1"/>
  <c r="F28" i="9"/>
  <c r="B35" i="9"/>
  <c r="F14" i="9"/>
  <c r="B11" i="9"/>
  <c r="B23" i="9"/>
  <c r="B36" i="9" s="1"/>
  <c r="B49" i="9" s="1"/>
  <c r="B62" i="9" s="1"/>
  <c r="B75" i="9" s="1"/>
  <c r="U58" i="9"/>
  <c r="V58" i="9"/>
  <c r="T58" i="9"/>
  <c r="U15" i="9"/>
  <c r="V15" i="9" s="1"/>
  <c r="G28" i="9" s="1"/>
  <c r="T16" i="9"/>
  <c r="BA57" i="3" l="1"/>
  <c r="BB50" i="3"/>
  <c r="BA40" i="3"/>
  <c r="R117" i="9"/>
  <c r="T117" i="9"/>
  <c r="Q112" i="9"/>
  <c r="M66" i="9"/>
  <c r="B125" i="9"/>
  <c r="AH44" i="3"/>
  <c r="AH51" i="3"/>
  <c r="F79" i="9"/>
  <c r="B88" i="9"/>
  <c r="AL41" i="3"/>
  <c r="AM39" i="3"/>
  <c r="AF43" i="3"/>
  <c r="AG52" i="3"/>
  <c r="AG53" i="3" s="1"/>
  <c r="AG42" i="3"/>
  <c r="AG59" i="3"/>
  <c r="T62" i="9" s="1"/>
  <c r="AE65" i="3"/>
  <c r="S62" i="9"/>
  <c r="Q66" i="9"/>
  <c r="AE64" i="3"/>
  <c r="AF53" i="3"/>
  <c r="AF54" i="3" s="1"/>
  <c r="O66" i="9"/>
  <c r="F66" i="9"/>
  <c r="I59" i="9"/>
  <c r="G59" i="9"/>
  <c r="U47" i="9"/>
  <c r="V47" i="9" s="1"/>
  <c r="G60" i="9" s="1"/>
  <c r="F53" i="9"/>
  <c r="F41" i="9"/>
  <c r="B48" i="9"/>
  <c r="P37" i="9"/>
  <c r="V63" i="3"/>
  <c r="F40" i="9"/>
  <c r="G71" i="9"/>
  <c r="F27" i="9"/>
  <c r="B12" i="9"/>
  <c r="B24" i="9"/>
  <c r="B37" i="9" s="1"/>
  <c r="B50" i="9" s="1"/>
  <c r="B63" i="9" s="1"/>
  <c r="B76" i="9" s="1"/>
  <c r="B89" i="9" s="1"/>
  <c r="B102" i="9" s="1"/>
  <c r="B115" i="9" s="1"/>
  <c r="B128" i="9" s="1"/>
  <c r="U16" i="9"/>
  <c r="U11" i="9" s="1"/>
  <c r="BC50" i="3" l="1"/>
  <c r="BB57" i="3"/>
  <c r="BB40" i="3"/>
  <c r="H130" i="9"/>
  <c r="U117" i="9"/>
  <c r="T112" i="9"/>
  <c r="AI51" i="3"/>
  <c r="AI44" i="3"/>
  <c r="AH59" i="3"/>
  <c r="H75" i="9" s="1"/>
  <c r="AH42" i="3"/>
  <c r="AH58" i="3" s="1"/>
  <c r="AG54" i="3"/>
  <c r="AG56" i="3" s="1"/>
  <c r="F92" i="9"/>
  <c r="B101" i="9"/>
  <c r="B114" i="9" s="1"/>
  <c r="AG43" i="3"/>
  <c r="AH52" i="3"/>
  <c r="AH53" i="3" s="1"/>
  <c r="AM41" i="3"/>
  <c r="AN39" i="3"/>
  <c r="AG58" i="3"/>
  <c r="T66" i="9"/>
  <c r="V62" i="9"/>
  <c r="H79" i="9" s="1"/>
  <c r="AF56" i="3"/>
  <c r="AF61" i="3" s="1"/>
  <c r="AF64" i="3"/>
  <c r="R66" i="9"/>
  <c r="P66" i="9"/>
  <c r="F54" i="9"/>
  <c r="B61" i="9"/>
  <c r="I60" i="9"/>
  <c r="J59" i="9"/>
  <c r="V66" i="3"/>
  <c r="W68" i="3" s="1"/>
  <c r="B13" i="9"/>
  <c r="B25" i="9"/>
  <c r="B38" i="9" s="1"/>
  <c r="B51" i="9" s="1"/>
  <c r="B64" i="9" s="1"/>
  <c r="B77" i="9" s="1"/>
  <c r="I71" i="9"/>
  <c r="H71" i="9"/>
  <c r="J71" i="9"/>
  <c r="G77" i="9"/>
  <c r="J77" i="9" s="1"/>
  <c r="M77" i="9" s="1"/>
  <c r="P77" i="9" s="1"/>
  <c r="S77" i="9" s="1"/>
  <c r="V77" i="9" s="1"/>
  <c r="G78" i="9"/>
  <c r="J78" i="9" s="1"/>
  <c r="M78" i="9" s="1"/>
  <c r="P78" i="9" s="1"/>
  <c r="S78" i="9" s="1"/>
  <c r="V78" i="9" s="1"/>
  <c r="V16" i="9"/>
  <c r="G29" i="9" s="1"/>
  <c r="U17" i="9"/>
  <c r="T11" i="9"/>
  <c r="T9" i="9" s="1"/>
  <c r="BD50" i="3" l="1"/>
  <c r="BC57" i="3"/>
  <c r="BC40" i="3"/>
  <c r="AG64" i="3"/>
  <c r="B127" i="9"/>
  <c r="F118" i="9"/>
  <c r="I130" i="9"/>
  <c r="K130" i="9"/>
  <c r="H125" i="9"/>
  <c r="I79" i="9"/>
  <c r="F105" i="9"/>
  <c r="G75" i="9"/>
  <c r="J75" i="9" s="1"/>
  <c r="B90" i="9"/>
  <c r="AH54" i="3"/>
  <c r="AN41" i="3"/>
  <c r="AO39" i="3"/>
  <c r="AI59" i="3"/>
  <c r="K75" i="9" s="1"/>
  <c r="AJ44" i="3"/>
  <c r="AJ51" i="3"/>
  <c r="AI42" i="3"/>
  <c r="AI58" i="3" s="1"/>
  <c r="AI52" i="3"/>
  <c r="AI53" i="3" s="1"/>
  <c r="AI54" i="3" s="1"/>
  <c r="AH43" i="3"/>
  <c r="F67" i="9"/>
  <c r="B74" i="9"/>
  <c r="U66" i="9"/>
  <c r="AG61" i="3"/>
  <c r="AG65" i="3" s="1"/>
  <c r="S66" i="9"/>
  <c r="AF65" i="3"/>
  <c r="L59" i="9"/>
  <c r="J60" i="9"/>
  <c r="S37" i="9"/>
  <c r="W63" i="3"/>
  <c r="M71" i="9"/>
  <c r="L71" i="9"/>
  <c r="K71" i="9"/>
  <c r="B14" i="9"/>
  <c r="B26" i="9"/>
  <c r="F8" i="9"/>
  <c r="T17" i="9"/>
  <c r="V9" i="9"/>
  <c r="BD57" i="3" l="1"/>
  <c r="L130" i="9"/>
  <c r="K125" i="9"/>
  <c r="N130" i="9"/>
  <c r="F131" i="9"/>
  <c r="AI56" i="3"/>
  <c r="AI61" i="3" s="1"/>
  <c r="AI65" i="3" s="1"/>
  <c r="AI64" i="3"/>
  <c r="AO41" i="3"/>
  <c r="AP39" i="3"/>
  <c r="AK44" i="3"/>
  <c r="AJ59" i="3"/>
  <c r="N75" i="9" s="1"/>
  <c r="AJ42" i="3"/>
  <c r="AJ58" i="3" s="1"/>
  <c r="AK51" i="3"/>
  <c r="B87" i="9"/>
  <c r="F80" i="9"/>
  <c r="M75" i="9"/>
  <c r="K79" i="9"/>
  <c r="AH56" i="3"/>
  <c r="AH61" i="3" s="1"/>
  <c r="AH65" i="3" s="1"/>
  <c r="AH64" i="3"/>
  <c r="B103" i="9"/>
  <c r="B116" i="9" s="1"/>
  <c r="AJ52" i="3"/>
  <c r="AJ53" i="3" s="1"/>
  <c r="AI43" i="3"/>
  <c r="V66" i="9"/>
  <c r="G79" i="9" s="1"/>
  <c r="J79" i="9" s="1"/>
  <c r="L60" i="9"/>
  <c r="M60" i="9" s="1"/>
  <c r="M59" i="9"/>
  <c r="W66" i="3"/>
  <c r="X68" i="3" s="1"/>
  <c r="F21" i="9"/>
  <c r="B39" i="9"/>
  <c r="B15" i="9"/>
  <c r="B27" i="9"/>
  <c r="B40" i="9" s="1"/>
  <c r="B53" i="9" s="1"/>
  <c r="B66" i="9" s="1"/>
  <c r="B79" i="9" s="1"/>
  <c r="B92" i="9" s="1"/>
  <c r="B105" i="9" s="1"/>
  <c r="B118" i="9" s="1"/>
  <c r="B131" i="9" s="1"/>
  <c r="P71" i="9"/>
  <c r="O71" i="9"/>
  <c r="N71" i="9"/>
  <c r="G22" i="9"/>
  <c r="V17" i="9"/>
  <c r="B129" i="9" l="1"/>
  <c r="N125" i="9"/>
  <c r="O130" i="9"/>
  <c r="F93" i="9"/>
  <c r="B100" i="9"/>
  <c r="AK42" i="3"/>
  <c r="AK58" i="3" s="1"/>
  <c r="AL51" i="3"/>
  <c r="AK59" i="3"/>
  <c r="Q75" i="9" s="1"/>
  <c r="AL44" i="3"/>
  <c r="AK52" i="3"/>
  <c r="AJ43" i="3"/>
  <c r="L79" i="9"/>
  <c r="AJ54" i="3"/>
  <c r="P75" i="9"/>
  <c r="N79" i="9"/>
  <c r="AP41" i="3"/>
  <c r="AQ39" i="3"/>
  <c r="O59" i="9"/>
  <c r="F34" i="9"/>
  <c r="B52" i="9"/>
  <c r="V37" i="9"/>
  <c r="X63" i="3"/>
  <c r="S71" i="9"/>
  <c r="R71" i="9"/>
  <c r="Q71" i="9"/>
  <c r="B16" i="9"/>
  <c r="B28" i="9"/>
  <c r="F16" i="9"/>
  <c r="H28" i="9"/>
  <c r="G30" i="9"/>
  <c r="F106" i="9" l="1"/>
  <c r="B113" i="9"/>
  <c r="AQ41" i="3"/>
  <c r="AR39" i="3"/>
  <c r="Q79" i="9"/>
  <c r="S75" i="9"/>
  <c r="AL52" i="3"/>
  <c r="AL53" i="3" s="1"/>
  <c r="AK43" i="3"/>
  <c r="AM51" i="3"/>
  <c r="AL42" i="3"/>
  <c r="AL59" i="3"/>
  <c r="T75" i="9" s="1"/>
  <c r="AM44" i="3"/>
  <c r="O79" i="9"/>
  <c r="AJ64" i="3"/>
  <c r="AJ56" i="3"/>
  <c r="AJ61" i="3" s="1"/>
  <c r="M79" i="9"/>
  <c r="AK53" i="3"/>
  <c r="AK54" i="3" s="1"/>
  <c r="O60" i="9"/>
  <c r="P60" i="9" s="1"/>
  <c r="P59" i="9"/>
  <c r="F47" i="9"/>
  <c r="B65" i="9"/>
  <c r="G50" i="9"/>
  <c r="X66" i="3"/>
  <c r="Y68" i="3" s="1"/>
  <c r="F29" i="9"/>
  <c r="B41" i="9"/>
  <c r="B17" i="9"/>
  <c r="B30" i="9" s="1"/>
  <c r="B43" i="9" s="1"/>
  <c r="B56" i="9" s="1"/>
  <c r="B69" i="9" s="1"/>
  <c r="B82" i="9" s="1"/>
  <c r="B95" i="9" s="1"/>
  <c r="B108" i="9" s="1"/>
  <c r="B121" i="9" s="1"/>
  <c r="B134" i="9" s="1"/>
  <c r="B29" i="9"/>
  <c r="B42" i="9" s="1"/>
  <c r="B55" i="9" s="1"/>
  <c r="B68" i="9" s="1"/>
  <c r="B81" i="9" s="1"/>
  <c r="F17" i="9"/>
  <c r="F9" i="9"/>
  <c r="T71" i="9"/>
  <c r="U71" i="9"/>
  <c r="V71" i="9"/>
  <c r="I28" i="9"/>
  <c r="J28" i="9" s="1"/>
  <c r="H29" i="9"/>
  <c r="P79" i="9" l="1"/>
  <c r="AL54" i="3"/>
  <c r="AL56" i="3" s="1"/>
  <c r="AR41" i="3"/>
  <c r="AS39" i="3"/>
  <c r="B126" i="9"/>
  <c r="F132" i="9" s="1"/>
  <c r="F119" i="9"/>
  <c r="AK64" i="3"/>
  <c r="AK56" i="3"/>
  <c r="AK61" i="3" s="1"/>
  <c r="AK65" i="3" s="1"/>
  <c r="AM52" i="3"/>
  <c r="AM53" i="3" s="1"/>
  <c r="AM54" i="3" s="1"/>
  <c r="AL43" i="3"/>
  <c r="AL58" i="3"/>
  <c r="B94" i="9"/>
  <c r="F82" i="9"/>
  <c r="F74" i="9"/>
  <c r="AJ65" i="3"/>
  <c r="V75" i="9"/>
  <c r="H92" i="9" s="1"/>
  <c r="T79" i="9"/>
  <c r="R79" i="9"/>
  <c r="AM42" i="3"/>
  <c r="AM59" i="3"/>
  <c r="H88" i="9" s="1"/>
  <c r="AN44" i="3"/>
  <c r="AN51" i="3"/>
  <c r="F60" i="9"/>
  <c r="B78" i="9"/>
  <c r="R59" i="9"/>
  <c r="S59" i="9" s="1"/>
  <c r="F69" i="9"/>
  <c r="F61" i="9"/>
  <c r="J50" i="9"/>
  <c r="Y63" i="3"/>
  <c r="F42" i="9"/>
  <c r="B54" i="9"/>
  <c r="F56" i="9"/>
  <c r="F48" i="9"/>
  <c r="F43" i="9"/>
  <c r="F35" i="9"/>
  <c r="G84" i="9"/>
  <c r="F30" i="9"/>
  <c r="F22" i="9"/>
  <c r="I29" i="9"/>
  <c r="J29" i="9" s="1"/>
  <c r="AL64" i="3" l="1"/>
  <c r="S79" i="9"/>
  <c r="AS41" i="3"/>
  <c r="AT39" i="3"/>
  <c r="AM64" i="3"/>
  <c r="AM56" i="3"/>
  <c r="I92" i="9"/>
  <c r="AL61" i="3"/>
  <c r="B107" i="9"/>
  <c r="B120" i="9" s="1"/>
  <c r="F95" i="9"/>
  <c r="F87" i="9"/>
  <c r="U79" i="9"/>
  <c r="B91" i="9"/>
  <c r="F73" i="9"/>
  <c r="AN52" i="3"/>
  <c r="AM43" i="3"/>
  <c r="AM58" i="3"/>
  <c r="AN59" i="3"/>
  <c r="K88" i="9" s="1"/>
  <c r="AN42" i="3"/>
  <c r="AN58" i="3" s="1"/>
  <c r="AO44" i="3"/>
  <c r="AO51" i="3"/>
  <c r="U59" i="9"/>
  <c r="R60" i="9"/>
  <c r="S60" i="9" s="1"/>
  <c r="F55" i="9"/>
  <c r="B67" i="9"/>
  <c r="Y66" i="3"/>
  <c r="Z68" i="3" s="1"/>
  <c r="J84" i="9"/>
  <c r="I84" i="9"/>
  <c r="H84" i="9"/>
  <c r="G88" i="9"/>
  <c r="J88" i="9" s="1"/>
  <c r="G90" i="9"/>
  <c r="J90" i="9" s="1"/>
  <c r="M90" i="9" s="1"/>
  <c r="P90" i="9" s="1"/>
  <c r="S90" i="9" s="1"/>
  <c r="V90" i="9" s="1"/>
  <c r="G91" i="9"/>
  <c r="J91" i="9" s="1"/>
  <c r="M91" i="9" s="1"/>
  <c r="P91" i="9" s="1"/>
  <c r="S91" i="9" s="1"/>
  <c r="V91" i="9" s="1"/>
  <c r="I24" i="9"/>
  <c r="B133" i="9" l="1"/>
  <c r="F121" i="9"/>
  <c r="F113" i="9"/>
  <c r="AT41" i="3"/>
  <c r="AU39" i="3"/>
  <c r="F108" i="9"/>
  <c r="F100" i="9"/>
  <c r="AO52" i="3"/>
  <c r="AO53" i="3" s="1"/>
  <c r="AO54" i="3" s="1"/>
  <c r="AN43" i="3"/>
  <c r="F68" i="9"/>
  <c r="B80" i="9"/>
  <c r="AN53" i="3"/>
  <c r="AN54" i="3" s="1"/>
  <c r="AL65" i="3"/>
  <c r="M88" i="9"/>
  <c r="K92" i="9"/>
  <c r="V79" i="9"/>
  <c r="G92" i="9" s="1"/>
  <c r="J92" i="9" s="1"/>
  <c r="AM61" i="3"/>
  <c r="AO59" i="3"/>
  <c r="N88" i="9" s="1"/>
  <c r="AO42" i="3"/>
  <c r="AO58" i="3" s="1"/>
  <c r="AP44" i="3"/>
  <c r="AP51" i="3"/>
  <c r="B104" i="9"/>
  <c r="F86" i="9"/>
  <c r="U60" i="9"/>
  <c r="V60" i="9" s="1"/>
  <c r="G73" i="9" s="1"/>
  <c r="J73" i="9" s="1"/>
  <c r="M73" i="9" s="1"/>
  <c r="P73" i="9" s="1"/>
  <c r="S73" i="9" s="1"/>
  <c r="V59" i="9"/>
  <c r="G72" i="9" s="1"/>
  <c r="M50" i="9"/>
  <c r="Z63" i="3"/>
  <c r="K84" i="9"/>
  <c r="L84" i="9"/>
  <c r="M84" i="9"/>
  <c r="I30" i="9"/>
  <c r="H24" i="9"/>
  <c r="H22" i="9" s="1"/>
  <c r="AU41" i="3" l="1"/>
  <c r="AV39" i="3"/>
  <c r="F99" i="9"/>
  <c r="B117" i="9"/>
  <c r="F134" i="9"/>
  <c r="F126" i="9"/>
  <c r="AO64" i="3"/>
  <c r="AO56" i="3"/>
  <c r="AO61" i="3" s="1"/>
  <c r="AO65" i="3" s="1"/>
  <c r="AN64" i="3"/>
  <c r="AN56" i="3"/>
  <c r="AN61" i="3" s="1"/>
  <c r="AP42" i="3"/>
  <c r="AP58" i="3" s="1"/>
  <c r="AP59" i="3"/>
  <c r="Q88" i="9" s="1"/>
  <c r="AQ44" i="3"/>
  <c r="AQ51" i="3"/>
  <c r="B93" i="9"/>
  <c r="F81" i="9"/>
  <c r="AM65" i="3"/>
  <c r="J72" i="9"/>
  <c r="AP52" i="3"/>
  <c r="AO43" i="3"/>
  <c r="L92" i="9"/>
  <c r="N92" i="9"/>
  <c r="P88" i="9"/>
  <c r="Z66" i="3"/>
  <c r="AA68" i="3" s="1"/>
  <c r="P84" i="9"/>
  <c r="O84" i="9"/>
  <c r="N84" i="9"/>
  <c r="H30" i="9"/>
  <c r="J22" i="9"/>
  <c r="AP53" i="3" l="1"/>
  <c r="AV41" i="3"/>
  <c r="AW39" i="3"/>
  <c r="B130" i="9"/>
  <c r="F125" i="9" s="1"/>
  <c r="F112" i="9"/>
  <c r="B106" i="9"/>
  <c r="F94" i="9"/>
  <c r="AN65" i="3"/>
  <c r="S88" i="9"/>
  <c r="Q92" i="9"/>
  <c r="O92" i="9"/>
  <c r="AQ59" i="3"/>
  <c r="T88" i="9" s="1"/>
  <c r="AQ42" i="3"/>
  <c r="AQ58" i="3" s="1"/>
  <c r="AR51" i="3"/>
  <c r="AR44" i="3"/>
  <c r="AQ52" i="3"/>
  <c r="AQ53" i="3" s="1"/>
  <c r="AQ54" i="3" s="1"/>
  <c r="AP43" i="3"/>
  <c r="M92" i="9"/>
  <c r="M72" i="9"/>
  <c r="P50" i="9"/>
  <c r="AA63" i="3"/>
  <c r="Q84" i="9"/>
  <c r="S84" i="9"/>
  <c r="R84" i="9"/>
  <c r="K28" i="9"/>
  <c r="J30" i="9"/>
  <c r="AP54" i="3" l="1"/>
  <c r="AP64" i="3" s="1"/>
  <c r="P92" i="9"/>
  <c r="F107" i="9"/>
  <c r="B119" i="9"/>
  <c r="AS51" i="3"/>
  <c r="AS44" i="3"/>
  <c r="AW41" i="3"/>
  <c r="AX39" i="3"/>
  <c r="AQ56" i="3"/>
  <c r="AQ61" i="3" s="1"/>
  <c r="AQ65" i="3" s="1"/>
  <c r="AQ64" i="3"/>
  <c r="P72" i="9"/>
  <c r="V88" i="9"/>
  <c r="H105" i="9" s="1"/>
  <c r="T92" i="9"/>
  <c r="AR59" i="3"/>
  <c r="H101" i="9" s="1"/>
  <c r="AR42" i="3"/>
  <c r="R92" i="9"/>
  <c r="AR52" i="3"/>
  <c r="AR53" i="3" s="1"/>
  <c r="AR54" i="3" s="1"/>
  <c r="AQ43" i="3"/>
  <c r="AA66" i="3"/>
  <c r="AB68" i="3" s="1"/>
  <c r="V84" i="9"/>
  <c r="U84" i="9"/>
  <c r="T84" i="9"/>
  <c r="L28" i="9"/>
  <c r="M28" i="9" s="1"/>
  <c r="K29" i="9"/>
  <c r="AP56" i="3" l="1"/>
  <c r="AP61" i="3" s="1"/>
  <c r="AS59" i="3"/>
  <c r="K101" i="9" s="1"/>
  <c r="AS42" i="3"/>
  <c r="AT51" i="3"/>
  <c r="AT44" i="3"/>
  <c r="AR43" i="3"/>
  <c r="AS52" i="3"/>
  <c r="B132" i="9"/>
  <c r="F133" i="9" s="1"/>
  <c r="F120" i="9"/>
  <c r="AX41" i="3"/>
  <c r="AY39" i="3"/>
  <c r="AR64" i="3"/>
  <c r="AR56" i="3"/>
  <c r="U92" i="9"/>
  <c r="I105" i="9"/>
  <c r="AR58" i="3"/>
  <c r="S72" i="9"/>
  <c r="U72" i="9" s="1"/>
  <c r="U73" i="9" s="1"/>
  <c r="V73" i="9" s="1"/>
  <c r="G86" i="9" s="1"/>
  <c r="J86" i="9" s="1"/>
  <c r="M86" i="9" s="1"/>
  <c r="P86" i="9" s="1"/>
  <c r="S86" i="9" s="1"/>
  <c r="S92" i="9"/>
  <c r="S50" i="9"/>
  <c r="AB63" i="3"/>
  <c r="G97" i="9"/>
  <c r="L29" i="9"/>
  <c r="M29" i="9" s="1"/>
  <c r="AP65" i="3" l="1"/>
  <c r="AS58" i="3"/>
  <c r="V92" i="9"/>
  <c r="AS53" i="3"/>
  <c r="AS54" i="3" s="1"/>
  <c r="AT42" i="3"/>
  <c r="AT59" i="3"/>
  <c r="N101" i="9" s="1"/>
  <c r="AU51" i="3"/>
  <c r="AU44" i="3"/>
  <c r="AT52" i="3"/>
  <c r="AT53" i="3" s="1"/>
  <c r="AS43" i="3"/>
  <c r="AY41" i="3"/>
  <c r="AZ39" i="3"/>
  <c r="V72" i="9"/>
  <c r="AR61" i="3"/>
  <c r="AB66" i="3"/>
  <c r="AC68" i="3" s="1"/>
  <c r="J97" i="9"/>
  <c r="I97" i="9"/>
  <c r="H97" i="9"/>
  <c r="G104" i="9"/>
  <c r="J104" i="9" s="1"/>
  <c r="M104" i="9" s="1"/>
  <c r="P104" i="9" s="1"/>
  <c r="S104" i="9" s="1"/>
  <c r="V104" i="9" s="1"/>
  <c r="G103" i="9"/>
  <c r="J103" i="9" s="1"/>
  <c r="M103" i="9" s="1"/>
  <c r="P103" i="9" s="1"/>
  <c r="S103" i="9" s="1"/>
  <c r="V103" i="9" s="1"/>
  <c r="G101" i="9"/>
  <c r="J101" i="9" s="1"/>
  <c r="L24" i="9"/>
  <c r="AT58" i="3" l="1"/>
  <c r="G105" i="9"/>
  <c r="J105" i="9" s="1"/>
  <c r="AS56" i="3"/>
  <c r="AS61" i="3" s="1"/>
  <c r="AS65" i="3" s="1"/>
  <c r="AS64" i="3"/>
  <c r="AT54" i="3"/>
  <c r="AZ41" i="3"/>
  <c r="BA39" i="3"/>
  <c r="AU42" i="3"/>
  <c r="AU59" i="3"/>
  <c r="Q101" i="9" s="1"/>
  <c r="AV51" i="3"/>
  <c r="AV44" i="3"/>
  <c r="AU52" i="3"/>
  <c r="AU53" i="3" s="1"/>
  <c r="AU54" i="3" s="1"/>
  <c r="AT43" i="3"/>
  <c r="K105" i="9"/>
  <c r="M101" i="9"/>
  <c r="AR65" i="3"/>
  <c r="G85" i="9"/>
  <c r="V50" i="9"/>
  <c r="AC63" i="3"/>
  <c r="M97" i="9"/>
  <c r="L97" i="9"/>
  <c r="K97" i="9"/>
  <c r="L30" i="9"/>
  <c r="K24" i="9"/>
  <c r="K22" i="9" s="1"/>
  <c r="AU56" i="3" l="1"/>
  <c r="AU64" i="3"/>
  <c r="AV52" i="3"/>
  <c r="AV53" i="3" s="1"/>
  <c r="AV54" i="3" s="1"/>
  <c r="AU43" i="3"/>
  <c r="BA41" i="3"/>
  <c r="BB39" i="3"/>
  <c r="P101" i="9"/>
  <c r="N105" i="9"/>
  <c r="L105" i="9"/>
  <c r="AU58" i="3"/>
  <c r="AT64" i="3"/>
  <c r="AT56" i="3"/>
  <c r="AT61" i="3" s="1"/>
  <c r="AV42" i="3"/>
  <c r="AV59" i="3"/>
  <c r="T101" i="9" s="1"/>
  <c r="AW44" i="3"/>
  <c r="AW51" i="3"/>
  <c r="J85" i="9"/>
  <c r="AC66" i="3"/>
  <c r="AD68" i="3" s="1"/>
  <c r="G63" i="9"/>
  <c r="O97" i="9"/>
  <c r="N97" i="9"/>
  <c r="P97" i="9"/>
  <c r="K30" i="9"/>
  <c r="M22" i="9"/>
  <c r="Q105" i="9" l="1"/>
  <c r="S101" i="9"/>
  <c r="AW52" i="3"/>
  <c r="AV43" i="3"/>
  <c r="M105" i="9"/>
  <c r="O105" i="9"/>
  <c r="BB41" i="3"/>
  <c r="BC39" i="3"/>
  <c r="BC41" i="3" s="1"/>
  <c r="AV58" i="3"/>
  <c r="AT65" i="3"/>
  <c r="AV64" i="3"/>
  <c r="AV56" i="3"/>
  <c r="AW59" i="3"/>
  <c r="H114" i="9" s="1"/>
  <c r="AW42" i="3"/>
  <c r="AX51" i="3"/>
  <c r="AX44" i="3"/>
  <c r="AU61" i="3"/>
  <c r="AU65" i="3" s="1"/>
  <c r="M85" i="9"/>
  <c r="J63" i="9"/>
  <c r="AD63" i="3"/>
  <c r="S97" i="9"/>
  <c r="R97" i="9"/>
  <c r="Q97" i="9"/>
  <c r="N28" i="9"/>
  <c r="M30" i="9"/>
  <c r="AV61" i="3" l="1"/>
  <c r="AV65" i="3" s="1"/>
  <c r="AX52" i="3"/>
  <c r="AX53" i="3" s="1"/>
  <c r="AX54" i="3" s="1"/>
  <c r="AW43" i="3"/>
  <c r="AW58" i="3"/>
  <c r="P105" i="9"/>
  <c r="AW53" i="3"/>
  <c r="AW54" i="3" s="1"/>
  <c r="V101" i="9"/>
  <c r="H118" i="9" s="1"/>
  <c r="T105" i="9"/>
  <c r="AX59" i="3"/>
  <c r="K114" i="9" s="1"/>
  <c r="AX42" i="3"/>
  <c r="AX58" i="3" s="1"/>
  <c r="AY44" i="3"/>
  <c r="AY51" i="3"/>
  <c r="R105" i="9"/>
  <c r="P85" i="9"/>
  <c r="AD66" i="3"/>
  <c r="AE68" i="3" s="1"/>
  <c r="V97" i="9"/>
  <c r="U97" i="9"/>
  <c r="T97" i="9"/>
  <c r="O28" i="9"/>
  <c r="P28" i="9" s="1"/>
  <c r="N29" i="9"/>
  <c r="AW56" i="3" l="1"/>
  <c r="AW61" i="3" s="1"/>
  <c r="AW64" i="3"/>
  <c r="AX56" i="3"/>
  <c r="AX61" i="3" s="1"/>
  <c r="AX65" i="3" s="1"/>
  <c r="AX64" i="3"/>
  <c r="U105" i="9"/>
  <c r="AY59" i="3"/>
  <c r="N114" i="9" s="1"/>
  <c r="AY42" i="3"/>
  <c r="AZ44" i="3"/>
  <c r="AZ51" i="3"/>
  <c r="AY52" i="3"/>
  <c r="AY53" i="3" s="1"/>
  <c r="AX43" i="3"/>
  <c r="S105" i="9"/>
  <c r="I118" i="9"/>
  <c r="S85" i="9"/>
  <c r="U85" i="9" s="1"/>
  <c r="U86" i="9" s="1"/>
  <c r="V86" i="9" s="1"/>
  <c r="G99" i="9" s="1"/>
  <c r="M63" i="9"/>
  <c r="AE63" i="3"/>
  <c r="G110" i="9"/>
  <c r="O29" i="9"/>
  <c r="O24" i="9" s="1"/>
  <c r="AY54" i="3" l="1"/>
  <c r="V105" i="9"/>
  <c r="G118" i="9" s="1"/>
  <c r="J118" i="9" s="1"/>
  <c r="AZ52" i="3"/>
  <c r="AY43" i="3"/>
  <c r="AY58" i="3"/>
  <c r="AZ42" i="3"/>
  <c r="AZ58" i="3" s="1"/>
  <c r="AZ59" i="3"/>
  <c r="Q114" i="9" s="1"/>
  <c r="BA44" i="3"/>
  <c r="BA51" i="3"/>
  <c r="AW65" i="3"/>
  <c r="V85" i="9"/>
  <c r="AE66" i="3"/>
  <c r="AF68" i="3" s="1"/>
  <c r="J110" i="9"/>
  <c r="I110" i="9"/>
  <c r="H110" i="9"/>
  <c r="G114" i="9"/>
  <c r="J114" i="9" s="1"/>
  <c r="G116" i="9"/>
  <c r="J116" i="9" s="1"/>
  <c r="M116" i="9" s="1"/>
  <c r="P116" i="9" s="1"/>
  <c r="S116" i="9" s="1"/>
  <c r="V116" i="9" s="1"/>
  <c r="G117" i="9"/>
  <c r="J117" i="9" s="1"/>
  <c r="M117" i="9" s="1"/>
  <c r="P117" i="9" s="1"/>
  <c r="S117" i="9" s="1"/>
  <c r="V117" i="9" s="1"/>
  <c r="P29" i="9"/>
  <c r="O30" i="9"/>
  <c r="N24" i="9"/>
  <c r="N22" i="9" s="1"/>
  <c r="AZ53" i="3" l="1"/>
  <c r="AZ54" i="3" s="1"/>
  <c r="AY56" i="3"/>
  <c r="AY64" i="3"/>
  <c r="BA52" i="3"/>
  <c r="AZ43" i="3"/>
  <c r="K118" i="9"/>
  <c r="M114" i="9"/>
  <c r="BA53" i="3"/>
  <c r="BA54" i="3" s="1"/>
  <c r="BA59" i="3"/>
  <c r="T114" i="9" s="1"/>
  <c r="BA42" i="3"/>
  <c r="BA58" i="3" s="1"/>
  <c r="BB51" i="3"/>
  <c r="BB44" i="3"/>
  <c r="I98" i="9"/>
  <c r="G98" i="9"/>
  <c r="P63" i="9"/>
  <c r="AF63" i="3"/>
  <c r="M110" i="9"/>
  <c r="K110" i="9"/>
  <c r="L110" i="9"/>
  <c r="N30" i="9"/>
  <c r="P22" i="9"/>
  <c r="AZ64" i="3" l="1"/>
  <c r="AZ56" i="3"/>
  <c r="AZ61" i="3" s="1"/>
  <c r="AZ65" i="3" s="1"/>
  <c r="AY61" i="3"/>
  <c r="BA64" i="3"/>
  <c r="BA56" i="3"/>
  <c r="BA61" i="3" s="1"/>
  <c r="BA65" i="3" s="1"/>
  <c r="N118" i="9"/>
  <c r="P114" i="9"/>
  <c r="L118" i="9"/>
  <c r="BB42" i="3"/>
  <c r="BB59" i="3"/>
  <c r="H127" i="9" s="1"/>
  <c r="BC44" i="3"/>
  <c r="BC51" i="3"/>
  <c r="BB52" i="3"/>
  <c r="BA43" i="3"/>
  <c r="J98" i="9"/>
  <c r="M98" i="9" s="1"/>
  <c r="I99" i="9"/>
  <c r="J99" i="9" s="1"/>
  <c r="M99" i="9" s="1"/>
  <c r="P99" i="9" s="1"/>
  <c r="S99" i="9" s="1"/>
  <c r="AF66" i="3"/>
  <c r="AG68" i="3" s="1"/>
  <c r="P30" i="9"/>
  <c r="Q28" i="9"/>
  <c r="N110" i="9"/>
  <c r="O110" i="9"/>
  <c r="P110" i="9"/>
  <c r="AY65" i="3" l="1"/>
  <c r="BB53" i="3"/>
  <c r="BB54" i="3" s="1"/>
  <c r="BC52" i="3"/>
  <c r="BC53" i="3" s="1"/>
  <c r="BC54" i="3" s="1"/>
  <c r="BB43" i="3"/>
  <c r="O118" i="9"/>
  <c r="Q118" i="9"/>
  <c r="S114" i="9"/>
  <c r="BB58" i="3"/>
  <c r="BC59" i="3"/>
  <c r="K127" i="9" s="1"/>
  <c r="BC42" i="3"/>
  <c r="BD51" i="3"/>
  <c r="BD44" i="3"/>
  <c r="P98" i="9"/>
  <c r="M118" i="9"/>
  <c r="S63" i="9"/>
  <c r="AG63" i="3"/>
  <c r="R28" i="9"/>
  <c r="S28" i="9" s="1"/>
  <c r="Q29" i="9"/>
  <c r="S110" i="9"/>
  <c r="R110" i="9"/>
  <c r="Q110" i="9"/>
  <c r="BB64" i="3" l="1"/>
  <c r="BB56" i="3"/>
  <c r="P118" i="9"/>
  <c r="BC56" i="3"/>
  <c r="BC64" i="3"/>
  <c r="V114" i="9"/>
  <c r="H131" i="9" s="1"/>
  <c r="T118" i="9"/>
  <c r="R118" i="9"/>
  <c r="S118" i="9" s="1"/>
  <c r="BB61" i="3"/>
  <c r="S98" i="9"/>
  <c r="U98" i="9" s="1"/>
  <c r="U99" i="9" s="1"/>
  <c r="V99" i="9" s="1"/>
  <c r="G112" i="9" s="1"/>
  <c r="BD59" i="3"/>
  <c r="N127" i="9" s="1"/>
  <c r="BD42" i="3"/>
  <c r="BD43" i="3" s="1"/>
  <c r="BD52" i="3"/>
  <c r="BD53" i="3" s="1"/>
  <c r="BD54" i="3" s="1"/>
  <c r="H70" i="3" s="1"/>
  <c r="BC43" i="3"/>
  <c r="BC58" i="3"/>
  <c r="AG66" i="3"/>
  <c r="R29" i="9"/>
  <c r="S29" i="9" s="1"/>
  <c r="U110" i="9"/>
  <c r="T110" i="9"/>
  <c r="V110" i="9"/>
  <c r="BD58" i="3" l="1"/>
  <c r="BD56" i="3"/>
  <c r="BD64" i="3"/>
  <c r="V98" i="9"/>
  <c r="I111" i="9" s="1"/>
  <c r="I112" i="9" s="1"/>
  <c r="J112" i="9" s="1"/>
  <c r="BB65" i="3"/>
  <c r="I131" i="9"/>
  <c r="U118" i="9"/>
  <c r="V118" i="9" s="1"/>
  <c r="BC61" i="3"/>
  <c r="BC65" i="3" s="1"/>
  <c r="V63" i="9"/>
  <c r="G76" i="9" s="1"/>
  <c r="AH68" i="3"/>
  <c r="AH63" i="3"/>
  <c r="R24" i="9"/>
  <c r="R30" i="9" s="1"/>
  <c r="G123" i="9"/>
  <c r="BD61" i="3" l="1"/>
  <c r="G111" i="9"/>
  <c r="AH66" i="3"/>
  <c r="Q24" i="9"/>
  <c r="Q22" i="9" s="1"/>
  <c r="Q30" i="9" s="1"/>
  <c r="J123" i="9"/>
  <c r="H123" i="9"/>
  <c r="I123" i="9"/>
  <c r="G129" i="9"/>
  <c r="J129" i="9" s="1"/>
  <c r="M129" i="9" s="1"/>
  <c r="P129" i="9" s="1"/>
  <c r="G130" i="9"/>
  <c r="J130" i="9" s="1"/>
  <c r="M130" i="9" s="1"/>
  <c r="P130" i="9" s="1"/>
  <c r="G131" i="9"/>
  <c r="J131" i="9" s="1"/>
  <c r="G127" i="9"/>
  <c r="J127" i="9" s="1"/>
  <c r="BD65" i="3" l="1"/>
  <c r="J111" i="9"/>
  <c r="L111" i="9" s="1"/>
  <c r="L112" i="9" s="1"/>
  <c r="M112" i="9" s="1"/>
  <c r="M127" i="9"/>
  <c r="K131" i="9"/>
  <c r="J76" i="9"/>
  <c r="AI63" i="3"/>
  <c r="AI68" i="3"/>
  <c r="S22" i="9"/>
  <c r="S30" i="9" s="1"/>
  <c r="L123" i="9"/>
  <c r="K123" i="9"/>
  <c r="M123" i="9"/>
  <c r="H27" i="3" l="1"/>
  <c r="H25" i="3"/>
  <c r="L131" i="9"/>
  <c r="N131" i="9"/>
  <c r="P127" i="9"/>
  <c r="M111" i="9"/>
  <c r="O111" i="9" s="1"/>
  <c r="O112" i="9" s="1"/>
  <c r="P112" i="9" s="1"/>
  <c r="AI66" i="3"/>
  <c r="T28" i="9"/>
  <c r="U28" i="9" s="1"/>
  <c r="V28" i="9" s="1"/>
  <c r="G41" i="9" s="1"/>
  <c r="P123" i="9"/>
  <c r="O123" i="9"/>
  <c r="N123" i="9"/>
  <c r="I19" i="3" l="1"/>
  <c r="M131" i="9"/>
  <c r="I18" i="3"/>
  <c r="I16" i="3"/>
  <c r="I17" i="3"/>
  <c r="P111" i="9"/>
  <c r="R111" i="9" s="1"/>
  <c r="R112" i="9" s="1"/>
  <c r="S112" i="9" s="1"/>
  <c r="O131" i="9"/>
  <c r="M76" i="9"/>
  <c r="AJ68" i="3"/>
  <c r="AJ63" i="3"/>
  <c r="T29" i="9"/>
  <c r="U29" i="9" s="1"/>
  <c r="U24" i="9" s="1"/>
  <c r="P131" i="9" l="1"/>
  <c r="S111" i="9"/>
  <c r="U111" i="9" s="1"/>
  <c r="U112" i="9" s="1"/>
  <c r="V112" i="9" s="1"/>
  <c r="G125" i="9" s="1"/>
  <c r="AJ66" i="3"/>
  <c r="V29" i="9"/>
  <c r="G42" i="9" s="1"/>
  <c r="U30" i="9"/>
  <c r="T24" i="9"/>
  <c r="T22" i="9" s="1"/>
  <c r="V111" i="9" l="1"/>
  <c r="I124" i="9" s="1"/>
  <c r="I125" i="9" s="1"/>
  <c r="J125" i="9" s="1"/>
  <c r="P76" i="9"/>
  <c r="AK63" i="3"/>
  <c r="AK68" i="3"/>
  <c r="T30" i="9"/>
  <c r="V22" i="9"/>
  <c r="G124" i="9" l="1"/>
  <c r="AK66" i="3"/>
  <c r="V30" i="9"/>
  <c r="H41" i="9"/>
  <c r="G35" i="9"/>
  <c r="J124" i="9" l="1"/>
  <c r="L124" i="9" s="1"/>
  <c r="L125" i="9" s="1"/>
  <c r="M125" i="9" s="1"/>
  <c r="S76" i="9"/>
  <c r="AL63" i="3"/>
  <c r="AL68" i="3"/>
  <c r="G43" i="9"/>
  <c r="I41" i="9"/>
  <c r="J41" i="9" s="1"/>
  <c r="H42" i="9"/>
  <c r="M124" i="9" l="1"/>
  <c r="AL66" i="3"/>
  <c r="I42" i="9"/>
  <c r="I37" i="9" s="1"/>
  <c r="O124" i="9" l="1"/>
  <c r="V76" i="9"/>
  <c r="AM68" i="3"/>
  <c r="AM63" i="3"/>
  <c r="AM66" i="3" s="1"/>
  <c r="J42" i="9"/>
  <c r="I43" i="9"/>
  <c r="H37" i="9"/>
  <c r="H35" i="9" s="1"/>
  <c r="O125" i="9" l="1"/>
  <c r="P125" i="9" s="1"/>
  <c r="P124" i="9"/>
  <c r="J89" i="9"/>
  <c r="AN63" i="3"/>
  <c r="AN66" i="3" s="1"/>
  <c r="AN68" i="3"/>
  <c r="G89" i="9"/>
  <c r="H43" i="9"/>
  <c r="J35" i="9"/>
  <c r="M89" i="9" l="1"/>
  <c r="AO63" i="3"/>
  <c r="AO66" i="3" s="1"/>
  <c r="AO68" i="3"/>
  <c r="J43" i="9"/>
  <c r="K41" i="9"/>
  <c r="P89" i="9" l="1"/>
  <c r="AP63" i="3"/>
  <c r="AP66" i="3" s="1"/>
  <c r="AP68" i="3"/>
  <c r="L41" i="9"/>
  <c r="M41" i="9" s="1"/>
  <c r="K42" i="9"/>
  <c r="S89" i="9" l="1"/>
  <c r="AQ68" i="3"/>
  <c r="AQ63" i="3"/>
  <c r="AQ66" i="3" s="1"/>
  <c r="AR68" i="3" s="1"/>
  <c r="L42" i="9"/>
  <c r="L37" i="9" s="1"/>
  <c r="V89" i="9" l="1"/>
  <c r="AR63" i="3"/>
  <c r="M42" i="9"/>
  <c r="L43" i="9"/>
  <c r="K37" i="9"/>
  <c r="K35" i="9" s="1"/>
  <c r="AR66" i="3" l="1"/>
  <c r="G102" i="9"/>
  <c r="K43" i="9"/>
  <c r="M35" i="9"/>
  <c r="J102" i="9" l="1"/>
  <c r="AS63" i="3"/>
  <c r="AS68" i="3"/>
  <c r="M43" i="9"/>
  <c r="N41" i="9"/>
  <c r="AS66" i="3" l="1"/>
  <c r="O41" i="9"/>
  <c r="P41" i="9" s="1"/>
  <c r="N42" i="9"/>
  <c r="M102" i="9" l="1"/>
  <c r="AT68" i="3"/>
  <c r="AT63" i="3"/>
  <c r="O42" i="9"/>
  <c r="O37" i="9" s="1"/>
  <c r="AT66" i="3" l="1"/>
  <c r="P42" i="9"/>
  <c r="O43" i="9"/>
  <c r="N37" i="9"/>
  <c r="N35" i="9" s="1"/>
  <c r="P102" i="9" l="1"/>
  <c r="AU63" i="3"/>
  <c r="AU68" i="3"/>
  <c r="N43" i="9"/>
  <c r="P35" i="9"/>
  <c r="AU66" i="3" l="1"/>
  <c r="P43" i="9"/>
  <c r="Q41" i="9"/>
  <c r="S102" i="9" l="1"/>
  <c r="AV68" i="3"/>
  <c r="AV63" i="3"/>
  <c r="R41" i="9"/>
  <c r="S41" i="9" s="1"/>
  <c r="Q42" i="9"/>
  <c r="AV66" i="3" l="1"/>
  <c r="R42" i="9"/>
  <c r="R37" i="9" s="1"/>
  <c r="S42" i="9" l="1"/>
  <c r="V102" i="9"/>
  <c r="AW68" i="3"/>
  <c r="AW63" i="3"/>
  <c r="R43" i="9"/>
  <c r="Q37" i="9"/>
  <c r="Q35" i="9" s="1"/>
  <c r="AW66" i="3" l="1"/>
  <c r="G115" i="9"/>
  <c r="Q43" i="9"/>
  <c r="S35" i="9"/>
  <c r="J115" i="9" l="1"/>
  <c r="AX68" i="3"/>
  <c r="AX63" i="3"/>
  <c r="AX66" i="3" s="1"/>
  <c r="S43" i="9"/>
  <c r="T41" i="9"/>
  <c r="M115" i="9" l="1"/>
  <c r="AY68" i="3"/>
  <c r="AY63" i="3"/>
  <c r="AY66" i="3" s="1"/>
  <c r="U41" i="9"/>
  <c r="V41" i="9" s="1"/>
  <c r="G54" i="9" s="1"/>
  <c r="T42" i="9"/>
  <c r="P115" i="9" l="1"/>
  <c r="AZ68" i="3"/>
  <c r="AZ63" i="3"/>
  <c r="AZ66" i="3" s="1"/>
  <c r="U42" i="9"/>
  <c r="U37" i="9" s="1"/>
  <c r="S115" i="9" l="1"/>
  <c r="BA68" i="3"/>
  <c r="BA63" i="3"/>
  <c r="BA66" i="3" s="1"/>
  <c r="V42" i="9"/>
  <c r="G55" i="9" s="1"/>
  <c r="U43" i="9"/>
  <c r="T37" i="9"/>
  <c r="T35" i="9" s="1"/>
  <c r="V115" i="9" l="1"/>
  <c r="BB63" i="3"/>
  <c r="BB66" i="3" s="1"/>
  <c r="BB68" i="3"/>
  <c r="T43" i="9"/>
  <c r="V35" i="9"/>
  <c r="J128" i="9" l="1"/>
  <c r="BC68" i="3"/>
  <c r="BC63" i="3"/>
  <c r="BC66" i="3" s="1"/>
  <c r="G128" i="9"/>
  <c r="V43" i="9"/>
  <c r="H54" i="9"/>
  <c r="G48" i="9"/>
  <c r="M128" i="9" l="1"/>
  <c r="BD63" i="3"/>
  <c r="H26" i="3" s="1"/>
  <c r="G56" i="9"/>
  <c r="I54" i="9"/>
  <c r="J54" i="9" s="1"/>
  <c r="H55" i="9"/>
  <c r="BD66" i="3" l="1"/>
  <c r="I55" i="9"/>
  <c r="I50" i="9" s="1"/>
  <c r="J55" i="9" l="1"/>
  <c r="I56" i="9"/>
  <c r="H50" i="9"/>
  <c r="H48" i="9" s="1"/>
  <c r="H56" i="9" l="1"/>
  <c r="J48" i="9"/>
  <c r="J56" i="9" l="1"/>
  <c r="K54" i="9"/>
  <c r="L54" i="9" l="1"/>
  <c r="M54" i="9" s="1"/>
  <c r="K55" i="9"/>
  <c r="L55" i="9" l="1"/>
  <c r="M55" i="9" s="1"/>
  <c r="L50" i="9" l="1"/>
  <c r="L56" i="9" s="1"/>
  <c r="K50" i="9" l="1"/>
  <c r="K48" i="9" s="1"/>
  <c r="K56" i="9" s="1"/>
  <c r="M48" i="9" l="1"/>
  <c r="M56" i="9" s="1"/>
  <c r="N54" i="9" l="1"/>
  <c r="O54" i="9" s="1"/>
  <c r="P54" i="9" s="1"/>
  <c r="N55" i="9" l="1"/>
  <c r="O55" i="9" l="1"/>
  <c r="O50" i="9" s="1"/>
  <c r="P55" i="9" l="1"/>
  <c r="O56" i="9"/>
  <c r="N50" i="9"/>
  <c r="N48" i="9" s="1"/>
  <c r="P48" i="9" l="1"/>
  <c r="N56" i="9"/>
  <c r="P56" i="9" l="1"/>
  <c r="Q54" i="9"/>
  <c r="R54" i="9" l="1"/>
  <c r="S54" i="9" s="1"/>
  <c r="Q55" i="9"/>
  <c r="R55" i="9" l="1"/>
  <c r="R50" i="9" s="1"/>
  <c r="S55" i="9" l="1"/>
  <c r="R56" i="9"/>
  <c r="Q50" i="9"/>
  <c r="Q48" i="9" s="1"/>
  <c r="Q56" i="9" l="1"/>
  <c r="S48" i="9"/>
  <c r="S56" i="9" l="1"/>
  <c r="T54" i="9"/>
  <c r="U54" i="9" l="1"/>
  <c r="V54" i="9" s="1"/>
  <c r="G67" i="9" s="1"/>
  <c r="T55" i="9"/>
  <c r="U55" i="9" l="1"/>
  <c r="U50" i="9" s="1"/>
  <c r="V55" i="9" l="1"/>
  <c r="G68" i="9" s="1"/>
  <c r="U56" i="9"/>
  <c r="T50" i="9"/>
  <c r="T48" i="9" s="1"/>
  <c r="T56" i="9" l="1"/>
  <c r="V48" i="9"/>
  <c r="V56" i="9" l="1"/>
  <c r="G61" i="9"/>
  <c r="H67" i="9"/>
  <c r="G69" i="9" l="1"/>
  <c r="I67" i="9"/>
  <c r="J67" i="9" s="1"/>
  <c r="H68" i="9"/>
  <c r="I68" i="9" l="1"/>
  <c r="I63" i="9"/>
  <c r="J68" i="9" l="1"/>
  <c r="I69" i="9"/>
  <c r="H63" i="9"/>
  <c r="H61" i="9" s="1"/>
  <c r="H69" i="9" l="1"/>
  <c r="J61" i="9"/>
  <c r="J69" i="9" l="1"/>
  <c r="K67" i="9"/>
  <c r="L67" i="9" l="1"/>
  <c r="M67" i="9" s="1"/>
  <c r="K68" i="9"/>
  <c r="L68" i="9" l="1"/>
  <c r="M68" i="9" l="1"/>
  <c r="L63" i="9"/>
  <c r="L69" i="9" l="1"/>
  <c r="K63" i="9"/>
  <c r="K61" i="9" s="1"/>
  <c r="M61" i="9" l="1"/>
  <c r="K69" i="9"/>
  <c r="N67" i="9"/>
  <c r="M69" i="9"/>
  <c r="O67" i="9" l="1"/>
  <c r="P67" i="9" s="1"/>
  <c r="N68" i="9"/>
  <c r="O68" i="9" l="1"/>
  <c r="O63" i="9" s="1"/>
  <c r="O69" i="9" l="1"/>
  <c r="N63" i="9"/>
  <c r="N61" i="9" s="1"/>
  <c r="P68" i="9"/>
  <c r="P61" i="9"/>
  <c r="N69" i="9" l="1"/>
  <c r="P69" i="9"/>
  <c r="Q67" i="9"/>
  <c r="R67" i="9" l="1"/>
  <c r="S67" i="9" s="1"/>
  <c r="Q68" i="9"/>
  <c r="R68" i="9" l="1"/>
  <c r="R63" i="9" s="1"/>
  <c r="R69" i="9" l="1"/>
  <c r="Q63" i="9"/>
  <c r="Q61" i="9" s="1"/>
  <c r="S68" i="9"/>
  <c r="Q69" i="9" l="1"/>
  <c r="S61" i="9"/>
  <c r="S69" i="9" l="1"/>
  <c r="T67" i="9"/>
  <c r="U67" i="9" l="1"/>
  <c r="V67" i="9" s="1"/>
  <c r="G80" i="9" s="1"/>
  <c r="T68" i="9"/>
  <c r="U68" i="9" l="1"/>
  <c r="V68" i="9" s="1"/>
  <c r="G81" i="9" s="1"/>
  <c r="U63" i="9" l="1"/>
  <c r="U69" i="9" l="1"/>
  <c r="T63" i="9"/>
  <c r="T61" i="9" s="1"/>
  <c r="T69" i="9" l="1"/>
  <c r="V61" i="9"/>
  <c r="V69" i="9" l="1"/>
  <c r="H80" i="9"/>
  <c r="G74" i="9"/>
  <c r="G82" i="9" l="1"/>
  <c r="I80" i="9"/>
  <c r="J80" i="9" s="1"/>
  <c r="H81" i="9"/>
  <c r="I81" i="9" l="1"/>
  <c r="J81" i="9" s="1"/>
  <c r="I76" i="9" l="1"/>
  <c r="I82" i="9" l="1"/>
  <c r="H76" i="9"/>
  <c r="H74" i="9" s="1"/>
  <c r="H82" i="9" l="1"/>
  <c r="J74" i="9"/>
  <c r="K80" i="9" l="1"/>
  <c r="J82" i="9"/>
  <c r="L80" i="9" l="1"/>
  <c r="K81" i="9"/>
  <c r="M80" i="9" l="1"/>
  <c r="L81" i="9"/>
  <c r="L76" i="9" s="1"/>
  <c r="M81" i="9" l="1"/>
  <c r="L82" i="9"/>
  <c r="K76" i="9"/>
  <c r="K74" i="9" s="1"/>
  <c r="K82" i="9" l="1"/>
  <c r="M74" i="9"/>
  <c r="N80" i="9" l="1"/>
  <c r="M82" i="9"/>
  <c r="O80" i="9" l="1"/>
  <c r="P80" i="9" s="1"/>
  <c r="N81" i="9"/>
  <c r="O81" i="9" l="1"/>
  <c r="O76" i="9" s="1"/>
  <c r="P81" i="9" l="1"/>
  <c r="O82" i="9"/>
  <c r="N76" i="9"/>
  <c r="N74" i="9" s="1"/>
  <c r="N82" i="9" l="1"/>
  <c r="P74" i="9"/>
  <c r="Q80" i="9" l="1"/>
  <c r="P82" i="9"/>
  <c r="R80" i="9" l="1"/>
  <c r="Q81" i="9"/>
  <c r="S80" i="9" l="1"/>
  <c r="R81" i="9"/>
  <c r="R76" i="9" s="1"/>
  <c r="S81" i="9" l="1"/>
  <c r="R82" i="9"/>
  <c r="Q76" i="9"/>
  <c r="Q74" i="9" s="1"/>
  <c r="Q82" i="9" l="1"/>
  <c r="S74" i="9"/>
  <c r="T80" i="9" l="1"/>
  <c r="S82" i="9"/>
  <c r="U80" i="9" l="1"/>
  <c r="V80" i="9" s="1"/>
  <c r="G93" i="9" s="1"/>
  <c r="T81" i="9"/>
  <c r="U81" i="9" l="1"/>
  <c r="U76" i="9" s="1"/>
  <c r="V81" i="9" l="1"/>
  <c r="G94" i="9" s="1"/>
  <c r="U82" i="9"/>
  <c r="T76" i="9"/>
  <c r="T74" i="9" s="1"/>
  <c r="T82" i="9" l="1"/>
  <c r="V74" i="9"/>
  <c r="H93" i="9" l="1"/>
  <c r="G87" i="9"/>
  <c r="V82" i="9"/>
  <c r="G95" i="9" l="1"/>
  <c r="I93" i="9"/>
  <c r="J93" i="9" s="1"/>
  <c r="H94" i="9"/>
  <c r="I94" i="9" l="1"/>
  <c r="I89" i="9" s="1"/>
  <c r="J94" i="9" l="1"/>
  <c r="I95" i="9"/>
  <c r="H89" i="9"/>
  <c r="H87" i="9" s="1"/>
  <c r="H95" i="9" l="1"/>
  <c r="J87" i="9"/>
  <c r="K93" i="9" l="1"/>
  <c r="J95" i="9"/>
  <c r="L93" i="9" l="1"/>
  <c r="M93" i="9" s="1"/>
  <c r="K94" i="9"/>
  <c r="L94" i="9" l="1"/>
  <c r="M94" i="9" s="1"/>
  <c r="L89" i="9" l="1"/>
  <c r="L95" i="9" s="1"/>
  <c r="K89" i="9" l="1"/>
  <c r="K87" i="9" s="1"/>
  <c r="K95" i="9" s="1"/>
  <c r="M87" i="9" l="1"/>
  <c r="N93" i="9" l="1"/>
  <c r="M95" i="9"/>
  <c r="O93" i="9" l="1"/>
  <c r="P93" i="9" s="1"/>
  <c r="N94" i="9"/>
  <c r="O94" i="9" l="1"/>
  <c r="O89" i="9" s="1"/>
  <c r="P94" i="9" l="1"/>
  <c r="O95" i="9"/>
  <c r="N89" i="9"/>
  <c r="N87" i="9" s="1"/>
  <c r="N95" i="9" l="1"/>
  <c r="P87" i="9"/>
  <c r="Q93" i="9" l="1"/>
  <c r="P95" i="9"/>
  <c r="R93" i="9" l="1"/>
  <c r="S93" i="9" s="1"/>
  <c r="Q94" i="9"/>
  <c r="R94" i="9" l="1"/>
  <c r="R89" i="9" s="1"/>
  <c r="S94" i="9" l="1"/>
  <c r="Q89" i="9"/>
  <c r="Q87" i="9" s="1"/>
  <c r="R95" i="9"/>
  <c r="Q95" i="9" l="1"/>
  <c r="S87" i="9"/>
  <c r="T93" i="9" l="1"/>
  <c r="S95" i="9"/>
  <c r="U93" i="9" l="1"/>
  <c r="V93" i="9" s="1"/>
  <c r="G106" i="9" s="1"/>
  <c r="T94" i="9"/>
  <c r="U94" i="9" l="1"/>
  <c r="U89" i="9" s="1"/>
  <c r="V94" i="9" l="1"/>
  <c r="G107" i="9" s="1"/>
  <c r="T89" i="9"/>
  <c r="T87" i="9" s="1"/>
  <c r="U95" i="9"/>
  <c r="T95" i="9" l="1"/>
  <c r="V87" i="9"/>
  <c r="H106" i="9" l="1"/>
  <c r="G100" i="9"/>
  <c r="V95" i="9"/>
  <c r="I106" i="9"/>
  <c r="J106" i="9" s="1"/>
  <c r="H107" i="9"/>
  <c r="G108" i="9" l="1"/>
  <c r="I107" i="9"/>
  <c r="I102" i="9" s="1"/>
  <c r="J107" i="9" l="1"/>
  <c r="I108" i="9"/>
  <c r="H102" i="9"/>
  <c r="H100" i="9" s="1"/>
  <c r="H108" i="9" l="1"/>
  <c r="J100" i="9"/>
  <c r="J108" i="9" l="1"/>
  <c r="K106" i="9"/>
  <c r="L106" i="9" l="1"/>
  <c r="M106" i="9" s="1"/>
  <c r="K107" i="9"/>
  <c r="L107" i="9" l="1"/>
  <c r="L102" i="9" s="1"/>
  <c r="M107" i="9" l="1"/>
  <c r="L108" i="9"/>
  <c r="K102" i="9"/>
  <c r="K100" i="9" s="1"/>
  <c r="K108" i="9" l="1"/>
  <c r="M100" i="9"/>
  <c r="N106" i="9" l="1"/>
  <c r="M108" i="9"/>
  <c r="O106" i="9" l="1"/>
  <c r="P106" i="9" s="1"/>
  <c r="N107" i="9"/>
  <c r="O107" i="9" l="1"/>
  <c r="O102" i="9" s="1"/>
  <c r="P107" i="9" l="1"/>
  <c r="O108" i="9"/>
  <c r="N102" i="9"/>
  <c r="N100" i="9" s="1"/>
  <c r="N108" i="9" l="1"/>
  <c r="P100" i="9"/>
  <c r="Q106" i="9" l="1"/>
  <c r="P108" i="9"/>
  <c r="R106" i="9" l="1"/>
  <c r="Q107" i="9"/>
  <c r="S106" i="9" l="1"/>
  <c r="R107" i="9"/>
  <c r="R102" i="9" s="1"/>
  <c r="S107" i="9" l="1"/>
  <c r="R108" i="9"/>
  <c r="Q102" i="9"/>
  <c r="Q100" i="9" s="1"/>
  <c r="Q108" i="9" l="1"/>
  <c r="S100" i="9"/>
  <c r="T106" i="9" l="1"/>
  <c r="S108" i="9"/>
  <c r="U106" i="9" l="1"/>
  <c r="T107" i="9"/>
  <c r="V106" i="9" l="1"/>
  <c r="G119" i="9" s="1"/>
  <c r="U107" i="9"/>
  <c r="U102" i="9" s="1"/>
  <c r="V107" i="9" l="1"/>
  <c r="G120" i="9" s="1"/>
  <c r="U108" i="9"/>
  <c r="T102" i="9"/>
  <c r="T100" i="9" s="1"/>
  <c r="T108" i="9" l="1"/>
  <c r="V100" i="9"/>
  <c r="H119" i="9" l="1"/>
  <c r="G113" i="9"/>
  <c r="V108" i="9"/>
  <c r="G121" i="9" l="1"/>
  <c r="I119" i="9"/>
  <c r="J119" i="9" s="1"/>
  <c r="H120" i="9"/>
  <c r="I120" i="9" l="1"/>
  <c r="I115" i="9" s="1"/>
  <c r="J120" i="9" l="1"/>
  <c r="I121" i="9"/>
  <c r="H115" i="9"/>
  <c r="H113" i="9" s="1"/>
  <c r="H121" i="9" l="1"/>
  <c r="J113" i="9"/>
  <c r="K119" i="9" l="1"/>
  <c r="J121" i="9"/>
  <c r="L119" i="9" l="1"/>
  <c r="M119" i="9" s="1"/>
  <c r="K120" i="9"/>
  <c r="L120" i="9" l="1"/>
  <c r="L115" i="9" s="1"/>
  <c r="M120" i="9" l="1"/>
  <c r="L121" i="9"/>
  <c r="K115" i="9"/>
  <c r="K113" i="9" s="1"/>
  <c r="K121" i="9" l="1"/>
  <c r="M113" i="9"/>
  <c r="N119" i="9" l="1"/>
  <c r="M121" i="9"/>
  <c r="O119" i="9" l="1"/>
  <c r="N120" i="9"/>
  <c r="P119" i="9" l="1"/>
  <c r="O120" i="9"/>
  <c r="O115" i="9" s="1"/>
  <c r="P120" i="9" l="1"/>
  <c r="O121" i="9"/>
  <c r="N115" i="9"/>
  <c r="N113" i="9" s="1"/>
  <c r="N121" i="9" l="1"/>
  <c r="P113" i="9"/>
  <c r="Q119" i="9" l="1"/>
  <c r="P121" i="9"/>
  <c r="R119" i="9" l="1"/>
  <c r="Q120" i="9"/>
  <c r="S119" i="9" l="1"/>
  <c r="R120" i="9"/>
  <c r="R115" i="9" s="1"/>
  <c r="S120" i="9" l="1"/>
  <c r="R121" i="9"/>
  <c r="Q115" i="9"/>
  <c r="Q113" i="9" s="1"/>
  <c r="Q121" i="9" l="1"/>
  <c r="S113" i="9"/>
  <c r="T119" i="9" l="1"/>
  <c r="S121" i="9"/>
  <c r="U119" i="9" l="1"/>
  <c r="T120" i="9"/>
  <c r="V119" i="9" l="1"/>
  <c r="G132" i="9" s="1"/>
  <c r="U120" i="9"/>
  <c r="U115" i="9" s="1"/>
  <c r="U121" i="9" l="1"/>
  <c r="T115" i="9"/>
  <c r="T113" i="9" s="1"/>
  <c r="V120" i="9"/>
  <c r="G133" i="9" s="1"/>
  <c r="T121" i="9" l="1"/>
  <c r="V113" i="9"/>
  <c r="H132" i="9" l="1"/>
  <c r="G126" i="9"/>
  <c r="V121" i="9"/>
  <c r="G134" i="9" l="1"/>
  <c r="I132" i="9"/>
  <c r="H133" i="9"/>
  <c r="J132" i="9" l="1"/>
  <c r="I133" i="9"/>
  <c r="I128" i="9" s="1"/>
  <c r="J133" i="9" l="1"/>
  <c r="I134" i="9"/>
  <c r="H128" i="9"/>
  <c r="H126" i="9" s="1"/>
  <c r="H134" i="9" l="1"/>
  <c r="J126" i="9"/>
  <c r="K132" i="9" l="1"/>
  <c r="J134" i="9"/>
  <c r="L132" i="9" l="1"/>
  <c r="K133" i="9"/>
  <c r="M132" i="9" l="1"/>
  <c r="L133" i="9"/>
  <c r="L128" i="9" s="1"/>
  <c r="M133" i="9" l="1"/>
  <c r="L134" i="9"/>
  <c r="K128" i="9"/>
  <c r="K126" i="9" s="1"/>
  <c r="K134" i="9" l="1"/>
  <c r="M126" i="9"/>
  <c r="N132" i="9" l="1"/>
  <c r="M134" i="9"/>
  <c r="O132" i="9" l="1"/>
  <c r="N133" i="9"/>
  <c r="P132" i="9" l="1"/>
  <c r="O133" i="9"/>
  <c r="O128" i="9" s="1"/>
  <c r="P133" i="9" l="1"/>
  <c r="O134" i="9"/>
  <c r="N128" i="9"/>
  <c r="N126" i="9" s="1"/>
  <c r="N134" i="9" l="1"/>
  <c r="P126" i="9"/>
  <c r="P134" i="9" s="1"/>
</calcChain>
</file>

<file path=xl/sharedStrings.xml><?xml version="1.0" encoding="utf-8"?>
<sst xmlns="http://schemas.openxmlformats.org/spreadsheetml/2006/main" count="182" uniqueCount="126">
  <si>
    <t>Depreciation</t>
  </si>
  <si>
    <t>Asset Value</t>
  </si>
  <si>
    <t>Interest Expense</t>
  </si>
  <si>
    <t>Income Tax</t>
  </si>
  <si>
    <t>Net Asset</t>
  </si>
  <si>
    <t>Assets</t>
  </si>
  <si>
    <t>Net Income</t>
  </si>
  <si>
    <t>Add Back: Depreciation</t>
  </si>
  <si>
    <t>Beginning Equity</t>
  </si>
  <si>
    <t>Ending Equity</t>
  </si>
  <si>
    <t>Debt cost</t>
  </si>
  <si>
    <t>WACC</t>
  </si>
  <si>
    <t>EBITDA Multiple</t>
  </si>
  <si>
    <t>[G]</t>
  </si>
  <si>
    <t>Debt/Capital structure</t>
  </si>
  <si>
    <t>Cash</t>
  </si>
  <si>
    <t>Cash Return</t>
  </si>
  <si>
    <t>Asset Purchase</t>
  </si>
  <si>
    <t>Debt Issue/(Repurchase)</t>
  </si>
  <si>
    <t xml:space="preserve">  </t>
  </si>
  <si>
    <t>teamfpi@fullpictureinvestment.com</t>
  </si>
  <si>
    <t>Welcome to Peer Inside Any Multiple</t>
  </si>
  <si>
    <t>TeamFPI</t>
  </si>
  <si>
    <t>Step II. Build pretax WACC</t>
  </si>
  <si>
    <t>Equity Capital Structure</t>
  </si>
  <si>
    <r>
      <t>Equity Return</t>
    </r>
    <r>
      <rPr>
        <sz val="9"/>
        <color theme="1"/>
        <rFont val="Calibri"/>
        <family val="2"/>
        <scheme val="minor"/>
      </rPr>
      <t xml:space="preserve"> </t>
    </r>
    <r>
      <rPr>
        <sz val="10"/>
        <color theme="1"/>
        <rFont val="Calibri"/>
        <family val="2"/>
        <scheme val="minor"/>
      </rPr>
      <t>(accrual time value ROE)</t>
    </r>
  </si>
  <si>
    <r>
      <t xml:space="preserve">Equity Return </t>
    </r>
    <r>
      <rPr>
        <sz val="10"/>
        <color theme="1"/>
        <rFont val="Calibri"/>
        <family val="2"/>
        <scheme val="minor"/>
      </rPr>
      <t>(discounted cash flow IRR)</t>
    </r>
  </si>
  <si>
    <r>
      <t>Equity</t>
    </r>
    <r>
      <rPr>
        <sz val="8"/>
        <color theme="1"/>
        <rFont val="Calibri"/>
        <family val="2"/>
        <scheme val="minor"/>
      </rPr>
      <t xml:space="preserve"> </t>
    </r>
    <r>
      <rPr>
        <sz val="11"/>
        <color theme="1"/>
        <rFont val="Calibri"/>
        <family val="2"/>
        <scheme val="minor"/>
      </rPr>
      <t>Capital Structure</t>
    </r>
  </si>
  <si>
    <t>FOUR PRIMARY FINANCIAL STATEMENTS:</t>
  </si>
  <si>
    <t>Equity Ending Balance</t>
  </si>
  <si>
    <t>Income Tax rate</t>
  </si>
  <si>
    <t>Equity Statement</t>
  </si>
  <si>
    <t>1.</t>
  </si>
  <si>
    <t>2.</t>
  </si>
  <si>
    <t>3.</t>
  </si>
  <si>
    <t>4.</t>
  </si>
  <si>
    <t>Step I. Define assumption values</t>
  </si>
  <si>
    <t>Balance Sheet</t>
  </si>
  <si>
    <t>Income Statement</t>
  </si>
  <si>
    <t>Cash Flow Statement</t>
  </si>
  <si>
    <t>DCF Asset Value</t>
  </si>
  <si>
    <t>TRIAL BALANCES</t>
  </si>
  <si>
    <t>ref</t>
  </si>
  <si>
    <t>Activity</t>
  </si>
  <si>
    <t>Close</t>
  </si>
  <si>
    <t>Accumulated Depreciation</t>
  </si>
  <si>
    <t>Debt</t>
  </si>
  <si>
    <t>Equity</t>
  </si>
  <si>
    <t>Operating Performance</t>
  </si>
  <si>
    <t>Total</t>
  </si>
  <si>
    <t xml:space="preserve"> . . . and match what you find with an affirming DCF valuation</t>
  </si>
  <si>
    <t>WACC's Return 'On &amp; Of'</t>
  </si>
  <si>
    <t>Cash Change</t>
  </si>
  <si>
    <t>Limited Warranty. Full Picture Investment LLC warrants this supplemental software will function substantially as described in Full Picture Investment LLC documentation. The limited warranty lasts for 90 days after the user downloads the software. This limited warranty does not cover problems that you cause, that arise when you fail to follow instructions, or are caused by events beyond the reasonable control of Full Picture Investment LLC. Transferring the software will not extend the 90 day expiration. Full Picture Investment LLC excludes all implied warranties and conditions, including those of merchantability or fitness for a purpose. Full Picture Investment LLC gives no other express warranties, guarantees or conditions. If Full Picture Investment LLC breaches its limited warranty, Full Picture Investment LLC will, at its election, either repair or replace the software or accept return of the software. These are your only remedies for breach of warranty.</t>
  </si>
  <si>
    <r>
      <rPr>
        <b/>
        <sz val="8"/>
        <color rgb="FF000000"/>
        <rFont val="Calibri"/>
        <family val="2"/>
        <scheme val="minor"/>
      </rPr>
      <t xml:space="preserve"> </t>
    </r>
    <r>
      <rPr>
        <sz val="8"/>
        <color rgb="FF000000"/>
        <rFont val="Calibri"/>
        <family val="2"/>
        <scheme val="minor"/>
      </rPr>
      <t>[43]</t>
    </r>
    <r>
      <rPr>
        <b/>
        <sz val="12"/>
        <color rgb="FF000000"/>
        <rFont val="Calibri"/>
        <family val="2"/>
        <scheme val="minor"/>
      </rPr>
      <t xml:space="preserve"> EARNINGS TO DEPLOYED EQUITY (EDE)</t>
    </r>
  </si>
  <si>
    <t>Step III. Iteratively Solve EBITDA Growth rate</t>
  </si>
  <si>
    <r>
      <t xml:space="preserve">Equity </t>
    </r>
    <r>
      <rPr>
        <sz val="9"/>
        <color theme="1"/>
        <rFont val="Calibri"/>
        <family val="2"/>
        <scheme val="minor"/>
      </rPr>
      <t xml:space="preserve">&amp; </t>
    </r>
    <r>
      <rPr>
        <sz val="11"/>
        <color theme="1"/>
        <rFont val="Calibri"/>
        <family val="2"/>
        <scheme val="minor"/>
      </rPr>
      <t>Debt</t>
    </r>
  </si>
  <si>
    <t>[period]</t>
  </si>
  <si>
    <r>
      <t xml:space="preserve">EBITDA Growth rate </t>
    </r>
    <r>
      <rPr>
        <sz val="9"/>
        <color theme="1"/>
        <rFont val="Calibri"/>
        <family val="2"/>
        <scheme val="minor"/>
      </rPr>
      <t>(beyond period 1)</t>
    </r>
  </si>
  <si>
    <r>
      <t>CORROBORATING ANALYTICS</t>
    </r>
    <r>
      <rPr>
        <sz val="12"/>
        <color rgb="FF000000"/>
        <rFont val="Calibri"/>
        <family val="2"/>
        <scheme val="minor"/>
      </rPr>
      <t>:</t>
    </r>
  </si>
  <si>
    <r>
      <t xml:space="preserve">Equity Present Value </t>
    </r>
    <r>
      <rPr>
        <sz val="10"/>
        <color theme="1"/>
        <rFont val="Calibri"/>
        <family val="2"/>
        <scheme val="minor"/>
      </rPr>
      <t>(equity cash flow PV)</t>
    </r>
  </si>
  <si>
    <t>Equity (Deploy/Inject)/Dividend</t>
  </si>
  <si>
    <t>Equity Deploy/Inject/(Dividend)</t>
  </si>
  <si>
    <t>Review assumptions Lines [2] through [5] and [26].</t>
  </si>
  <si>
    <t>To solve a Multiple place the now given EBITDA Growth rate assumption in Line [7].</t>
  </si>
  <si>
    <t>It is hard to argue against Peer Inside's unified valuation and four primary financial statements while others have only three statements. The fourth primary equity statement is used to indicate a valuation's debits are equal to its credits. Debits equaling credits is what enables unifying EBITDA and DCF valuations.</t>
  </si>
  <si>
    <t>How to Calculate an EBITDA Multiple:</t>
  </si>
  <si>
    <r>
      <t>A. Answer</t>
    </r>
    <r>
      <rPr>
        <sz val="16"/>
        <color theme="1"/>
        <rFont val="Calibri"/>
        <family val="2"/>
        <scheme val="minor"/>
      </rPr>
      <t xml:space="preserve"> – </t>
    </r>
    <r>
      <rPr>
        <b/>
        <sz val="16"/>
        <color theme="1"/>
        <rFont val="Calibri"/>
        <family val="2"/>
        <scheme val="minor"/>
      </rPr>
      <t xml:space="preserve">Lines </t>
    </r>
    <r>
      <rPr>
        <sz val="16"/>
        <color theme="1"/>
        <rFont val="Calibri"/>
        <family val="2"/>
        <scheme val="minor"/>
      </rPr>
      <t>[</t>
    </r>
    <r>
      <rPr>
        <b/>
        <sz val="16"/>
        <color theme="1"/>
        <rFont val="Calibri"/>
        <family val="2"/>
        <scheme val="minor"/>
      </rPr>
      <t>2</t>
    </r>
    <r>
      <rPr>
        <sz val="16"/>
        <color theme="1"/>
        <rFont val="Calibri"/>
        <family val="2"/>
        <scheme val="minor"/>
      </rPr>
      <t>]</t>
    </r>
    <r>
      <rPr>
        <b/>
        <sz val="16"/>
        <color theme="1"/>
        <rFont val="Calibri"/>
        <family val="2"/>
        <scheme val="minor"/>
      </rPr>
      <t xml:space="preserve"> to </t>
    </r>
    <r>
      <rPr>
        <sz val="16"/>
        <color theme="1"/>
        <rFont val="Calibri"/>
        <family val="2"/>
        <scheme val="minor"/>
      </rPr>
      <t>[</t>
    </r>
    <r>
      <rPr>
        <b/>
        <sz val="16"/>
        <color theme="1"/>
        <rFont val="Calibri"/>
        <family val="2"/>
        <scheme val="minor"/>
      </rPr>
      <t>7</t>
    </r>
    <r>
      <rPr>
        <sz val="16"/>
        <color theme="1"/>
        <rFont val="Calibri"/>
        <family val="2"/>
        <scheme val="minor"/>
      </rPr>
      <t>]</t>
    </r>
  </si>
  <si>
    <r>
      <t xml:space="preserve">Q. What is inside Line </t>
    </r>
    <r>
      <rPr>
        <sz val="16"/>
        <color theme="1"/>
        <rFont val="Calibri"/>
        <family val="2"/>
        <scheme val="minor"/>
      </rPr>
      <t>[</t>
    </r>
    <r>
      <rPr>
        <b/>
        <sz val="16"/>
        <color theme="1"/>
        <rFont val="Calibri"/>
        <family val="2"/>
        <scheme val="minor"/>
      </rPr>
      <t>1</t>
    </r>
    <r>
      <rPr>
        <sz val="16"/>
        <color theme="1"/>
        <rFont val="Calibri"/>
        <family val="2"/>
        <scheme val="minor"/>
      </rPr>
      <t>]</t>
    </r>
    <r>
      <rPr>
        <b/>
        <sz val="16"/>
        <color theme="1"/>
        <rFont val="Calibri"/>
        <family val="2"/>
        <scheme val="minor"/>
      </rPr>
      <t>'s EBITDA Multiple?</t>
    </r>
  </si>
  <si>
    <t>Peer Inside An EBITDA Multiple in Three Steps</t>
  </si>
  <si>
    <t>Peer Inside demonstrates the unparalleled feat of peering inside EBITDA Multiples and then unifying the EBITDA valuation with a DCF valuations. Never again feel unease over weighing EBITDA and DCF valuations to reach an investment decision. A single assumption set, valuation, corroborating analytics, and four affirming financial statements portray the unified EBITDA and DCF valuations.</t>
  </si>
  <si>
    <t>Iterative Polynomial Rounding Digit Precision</t>
  </si>
  <si>
    <r>
      <t>ASSET</t>
    </r>
    <r>
      <rPr>
        <b/>
        <sz val="8"/>
        <color theme="1"/>
        <rFont val="Calibri"/>
        <family val="2"/>
        <scheme val="minor"/>
      </rPr>
      <t xml:space="preserve"> </t>
    </r>
    <r>
      <rPr>
        <b/>
        <sz val="12"/>
        <color theme="1"/>
        <rFont val="Calibri"/>
        <family val="2"/>
        <scheme val="minor"/>
      </rPr>
      <t>VALUE:</t>
    </r>
    <r>
      <rPr>
        <sz val="12"/>
        <color theme="1"/>
        <rFont val="Calibri"/>
        <family val="2"/>
        <scheme val="minor"/>
      </rPr>
      <t xml:space="preserve"> </t>
    </r>
    <r>
      <rPr>
        <sz val="11"/>
        <color theme="1"/>
        <rFont val="Calibri"/>
        <family val="2"/>
        <scheme val="minor"/>
      </rPr>
      <t xml:space="preserve">modified DCF </t>
    </r>
    <r>
      <rPr>
        <i/>
        <sz val="9"/>
        <color theme="1"/>
        <rFont val="Calibri"/>
        <family val="2"/>
        <scheme val="minor"/>
      </rPr>
      <t>(see Research at peerinside.com)</t>
    </r>
  </si>
  <si>
    <t>These terms are a condition for using the supplemental spreadsheet software contained herein. This supplemental software is for internal private use only. Any sale, rent, lease or otherwise commercial transaction of this software or its output, including but not limited to the ability to generate prospective equity statements, to match sought and demonstrated equity returns or create equal EBITDA and DCF valuations, is prohibited without prior written consent from Full Picture Investment LLC. Copyright © 2026, Full Picture Investment LLC, Patent Pending</t>
  </si>
  <si>
    <t xml:space="preserve"> [2]*(1-[3])/(1- [5])+[3]*[4]</t>
  </si>
  <si>
    <t>[1]*[25,1]</t>
  </si>
  <si>
    <t>[20]+[27]</t>
  </si>
  <si>
    <t>SUM([19]:[20])</t>
  </si>
  <si>
    <t>[24]-[21]</t>
  </si>
  <si>
    <t>SUM([21]:[22])</t>
  </si>
  <si>
    <t>[24]+[24]*[6]-PMT([6],[15],-[19])</t>
  </si>
  <si>
    <t>Note 3 then [25]*(1+[7])</t>
  </si>
  <si>
    <t>Note 3, period 1: PV([2],[15],-[16])/(1-(1+[7])^[15]/(1+[2])^[15])*([2]-[7])</t>
  </si>
  <si>
    <t>-[19] /[15]</t>
  </si>
  <si>
    <t>-[24]*[3]*[4]</t>
  </si>
  <si>
    <t>[22]*[2]</t>
  </si>
  <si>
    <t>-SUM([26]:[29])*[5]</t>
  </si>
  <si>
    <t>SUM([26]:[30])</t>
  </si>
  <si>
    <t>[31]</t>
  </si>
  <si>
    <t>-[27]</t>
  </si>
  <si>
    <t>[22]-[22]</t>
  </si>
  <si>
    <t>([24]-[24])*[3]</t>
  </si>
  <si>
    <t>-[19]</t>
  </si>
  <si>
    <t>SUM([32]:[36])</t>
  </si>
  <si>
    <t>[41]</t>
  </si>
  <si>
    <t>-[37]</t>
  </si>
  <si>
    <t>SUM([38]:[40])</t>
  </si>
  <si>
    <t>[41]/[24]</t>
  </si>
  <si>
    <t>NPV([2],[31]:[31])/[40,0]*1000 (see Research discussion)</t>
  </si>
  <si>
    <t>NPV([2],[26]:[26])*PMT([2],[15],-1)</t>
  </si>
  <si>
    <t>PMT([6],[15],-1)</t>
  </si>
  <si>
    <t>[16]/[17]</t>
  </si>
  <si>
    <t>COUNT([26]:[26])</t>
  </si>
  <si>
    <t>IRR([40]:[40] &amp; [2], [11]</t>
  </si>
  <si>
    <t>NPV([2],[39]:[39])/NPV([2],[38]:[38])</t>
  </si>
  <si>
    <t>NPV([2],[40]:[40])</t>
  </si>
  <si>
    <t>[42] &amp; (100% - [3])</t>
  </si>
  <si>
    <r>
      <t>Equity Return</t>
    </r>
    <r>
      <rPr>
        <i/>
        <sz val="11"/>
        <rFont val="Calibri"/>
        <family val="2"/>
        <scheme val="minor"/>
      </rPr>
      <t xml:space="preserve"> </t>
    </r>
    <r>
      <rPr>
        <i/>
        <sz val="9"/>
        <rFont val="Calibri"/>
        <family val="2"/>
        <scheme val="minor"/>
      </rPr>
      <t>(risk neutralization)</t>
    </r>
  </si>
  <si>
    <t>5.</t>
  </si>
  <si>
    <t>[Goal Seek] w/[8]</t>
  </si>
  <si>
    <t>Note 1: PMT([6],[15],-1)*[1] - PMT([2],[15],-1)*(1-(1+[7])^[15]/(1+[2])^[15])/([2]-[7]) = 0E+00</t>
  </si>
  <si>
    <t>bold numbers are given assumptions; all transactions occur at period end; [y] designates a y-axis [Line] number, [y,x] refers to [Line,Period]</t>
  </si>
  <si>
    <r>
      <t>WACC</t>
    </r>
    <r>
      <rPr>
        <sz val="10"/>
        <rFont val="Calibri"/>
        <family val="2"/>
        <scheme val="minor"/>
      </rPr>
      <t>&amp;</t>
    </r>
    <r>
      <rPr>
        <sz val="11"/>
        <rFont val="Calibri"/>
        <family val="2"/>
        <scheme val="minor"/>
      </rPr>
      <t>Multiple</t>
    </r>
    <r>
      <rPr>
        <sz val="7"/>
        <rFont val="Aptos Narrow"/>
      </rPr>
      <t>—</t>
    </r>
    <r>
      <rPr>
        <sz val="11"/>
        <rFont val="Calibri"/>
        <family val="2"/>
        <scheme val="minor"/>
      </rPr>
      <t>Equity</t>
    </r>
    <r>
      <rPr>
        <sz val="10"/>
        <rFont val="Calibri"/>
        <family val="2"/>
        <scheme val="minor"/>
      </rPr>
      <t>&amp;</t>
    </r>
    <r>
      <rPr>
        <sz val="11"/>
        <rFont val="Calibri"/>
        <family val="2"/>
        <scheme val="minor"/>
      </rPr>
      <t>Growth Iteration</t>
    </r>
  </si>
  <si>
    <t xml:space="preserve"> Note 1</t>
  </si>
  <si>
    <r>
      <t xml:space="preserve">EBITDA </t>
    </r>
    <r>
      <rPr>
        <sz val="9"/>
        <color theme="1"/>
        <rFont val="Calibri"/>
        <family val="2"/>
        <scheme val="minor"/>
      </rPr>
      <t xml:space="preserve">(non-GAAP) Note 2 </t>
    </r>
  </si>
  <si>
    <r>
      <rPr>
        <sz val="10"/>
        <color theme="1"/>
        <rFont val="Calibri"/>
        <family val="2"/>
        <scheme val="minor"/>
      </rPr>
      <t>Operating Perf</t>
    </r>
    <r>
      <rPr>
        <sz val="11"/>
        <color theme="1"/>
        <rFont val="Calibri"/>
        <family val="2"/>
        <scheme val="minor"/>
      </rPr>
      <t xml:space="preserve">ormance </t>
    </r>
    <r>
      <rPr>
        <sz val="9"/>
        <color theme="1"/>
        <rFont val="Calibri"/>
        <family val="2"/>
        <scheme val="minor"/>
      </rPr>
      <t>(GAAP) Note 2</t>
    </r>
  </si>
  <si>
    <r>
      <t xml:space="preserve">Asset Life </t>
    </r>
    <r>
      <rPr>
        <i/>
        <sz val="9"/>
        <rFont val="Calibri"/>
        <family val="2"/>
        <scheme val="minor"/>
      </rPr>
      <t>(from the details embedded in the 'DA' of EBITDA)</t>
    </r>
  </si>
  <si>
    <r>
      <t>Operating Performance</t>
    </r>
    <r>
      <rPr>
        <sz val="10"/>
        <rFont val="Calibri"/>
        <family val="2"/>
        <scheme val="minor"/>
      </rPr>
      <t xml:space="preserve"> </t>
    </r>
    <r>
      <rPr>
        <i/>
        <sz val="9"/>
        <rFont val="Calibri"/>
        <family val="2"/>
        <scheme val="minor"/>
      </rPr>
      <t>(proxy</t>
    </r>
    <r>
      <rPr>
        <sz val="8"/>
        <rFont val="Aptos Narrow"/>
      </rPr>
      <t>—</t>
    </r>
    <r>
      <rPr>
        <i/>
        <sz val="9"/>
        <rFont val="Calibri"/>
        <family val="2"/>
        <scheme val="minor"/>
      </rPr>
      <t>non-varying )</t>
    </r>
  </si>
  <si>
    <t>Is Equity Return, Line [2] commensurate with the solved EBITDA Growth rate, Line [7] and the other assumptions?  If so, a viable Asset Value is created when the sought Equity Return, Line [2] matches the demonstrated Equity Returns of Lines [10] and [11]  found in the fourth primary equity financial statement, plus the $700 DCF Asset Value, Line [18] matches the EBITDA Asset Value, Line [19].</t>
  </si>
  <si>
    <t>Go to the accompanying Peer Inside An EBITDA Multiple worksheet tab.</t>
  </si>
  <si>
    <r>
      <t xml:space="preserve">This is the Peer Inside workbook downloaded from the </t>
    </r>
    <r>
      <rPr>
        <b/>
        <i/>
        <sz val="16"/>
        <color theme="1"/>
        <rFont val="Calibri"/>
        <family val="2"/>
      </rPr>
      <t xml:space="preserve">peerinside.com </t>
    </r>
    <r>
      <rPr>
        <sz val="16"/>
        <color theme="1"/>
        <rFont val="Calibri"/>
        <family val="2"/>
      </rPr>
      <t>website. Everything from the website's homepage is contained in the accompanying worksheet tab: Peer Inside An EBITDA Multiple.</t>
    </r>
  </si>
  <si>
    <t>Use Menu: Data, What If-Analysis, Goal Seek: Set cell: Line [8], To value: 0, By changing: Line [1]'s Multiple.</t>
  </si>
  <si>
    <t>Be sure to leverage the Definitions, Top Reasons, FAQ, and Valuation Research at the peerinside.com website. Start experiencing the success you will find with this next-generation financial valuation tool. Send questions, comments and suggestions to:</t>
  </si>
  <si>
    <t>Equity Return [2] and EBITDA Growth rate [7] values may not be within 0.00000001 of each other.</t>
  </si>
  <si>
    <r>
      <t>If you would like to take Peer Inside to the next level</t>
    </r>
    <r>
      <rPr>
        <sz val="12"/>
        <color theme="1"/>
        <rFont val="Aptos Narrow"/>
      </rPr>
      <t>—</t>
    </r>
    <r>
      <rPr>
        <sz val="16"/>
        <color theme="1"/>
        <rFont val="Calibri"/>
        <family val="2"/>
      </rPr>
      <t>such as incorporating new assumptions, varying assumptions from period to period, or comparing competing investment opportunities—please reach out to set up a discussion on how we can help you.</t>
    </r>
  </si>
  <si>
    <t>These terms are a condition for using the supplemental spreadsheet software contained herein. This supplemental software is for internal private use only. Any sale, rent, lease or other commercial transaction of this software or its output, including but not limited to the ability to generate prospective equity statements, to match sought and demonstrated equity returns or create equal EBITDA and DCF valuations, is prohibited without prior written consent from Full Picture Investment LLC. Copyright © 2026, Full Picture Investment LLC, Patent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</si>
</sst>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0.0"/>
    <numFmt numFmtId="165" formatCode="\[#,##0\]"/>
    <numFmt numFmtId="166" formatCode="#,##0.000_);\(#,##0.000\)"/>
    <numFmt numFmtId="167" formatCode="0.0%"/>
    <numFmt numFmtId="168" formatCode="&quot;$&quot;#,##0"/>
    <numFmt numFmtId="169" formatCode="\[#,##0.00\]"/>
    <numFmt numFmtId="170" formatCode="#,##0.000"/>
    <numFmt numFmtId="171" formatCode="0E+00"/>
  </numFmts>
  <fonts count="61">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6"/>
      <color theme="1"/>
      <name val="Calibri"/>
      <family val="2"/>
      <scheme val="minor"/>
    </font>
    <font>
      <sz val="10"/>
      <color theme="1"/>
      <name val="Calibri"/>
      <family val="2"/>
      <scheme val="minor"/>
    </font>
    <font>
      <sz val="12"/>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b/>
      <sz val="12"/>
      <color theme="1"/>
      <name val="Calibri"/>
      <family val="2"/>
      <scheme val="minor"/>
    </font>
    <font>
      <b/>
      <sz val="10"/>
      <color rgb="FFFF0000"/>
      <name val="Calibri"/>
      <family val="2"/>
      <scheme val="minor"/>
    </font>
    <font>
      <sz val="9"/>
      <color theme="1"/>
      <name val="Calibri"/>
      <family val="2"/>
      <scheme val="minor"/>
    </font>
    <font>
      <b/>
      <sz val="18"/>
      <color theme="1"/>
      <name val="Calibri"/>
      <family val="2"/>
      <scheme val="minor"/>
    </font>
    <font>
      <i/>
      <sz val="9"/>
      <color theme="1"/>
      <name val="Calibri"/>
      <family val="2"/>
      <scheme val="minor"/>
    </font>
    <font>
      <sz val="10"/>
      <color theme="1"/>
      <name val="Consolas"/>
      <family val="3"/>
    </font>
    <font>
      <sz val="12"/>
      <color theme="1"/>
      <name val="Calibri"/>
      <family val="2"/>
    </font>
    <font>
      <sz val="16"/>
      <color theme="1"/>
      <name val="Calibri"/>
      <family val="2"/>
    </font>
    <font>
      <sz val="14"/>
      <color rgb="FF000000"/>
      <name val="Calibri"/>
      <family val="2"/>
    </font>
    <font>
      <sz val="16"/>
      <color rgb="FF000000"/>
      <name val="Calibri"/>
      <family val="2"/>
    </font>
    <font>
      <sz val="20"/>
      <color theme="1"/>
      <name val="Calibri"/>
      <family val="2"/>
    </font>
    <font>
      <b/>
      <i/>
      <sz val="16"/>
      <color theme="1"/>
      <name val="Calibri"/>
      <family val="2"/>
    </font>
    <font>
      <i/>
      <sz val="16"/>
      <color rgb="FF000000"/>
      <name val="Calibri"/>
      <family val="2"/>
    </font>
    <font>
      <b/>
      <sz val="16"/>
      <color theme="1"/>
      <name val="Calibri"/>
      <family val="2"/>
      <scheme val="minor"/>
    </font>
    <font>
      <b/>
      <sz val="8"/>
      <color theme="1"/>
      <name val="Calibri"/>
      <family val="2"/>
      <scheme val="minor"/>
    </font>
    <font>
      <b/>
      <sz val="10"/>
      <color theme="1"/>
      <name val="Calibri"/>
      <family val="2"/>
      <scheme val="minor"/>
    </font>
    <font>
      <i/>
      <sz val="11"/>
      <color theme="1"/>
      <name val="Calibri"/>
      <family val="2"/>
      <scheme val="minor"/>
    </font>
    <font>
      <sz val="8"/>
      <color rgb="FF000000"/>
      <name val="Calibri"/>
      <family val="2"/>
      <scheme val="minor"/>
    </font>
    <font>
      <b/>
      <sz val="8"/>
      <color rgb="FF000000"/>
      <name val="Calibri"/>
      <family val="2"/>
      <scheme val="minor"/>
    </font>
    <font>
      <sz val="10"/>
      <name val="Calibri"/>
      <family val="2"/>
      <scheme val="minor"/>
    </font>
    <font>
      <sz val="11"/>
      <name val="Calibri"/>
      <family val="2"/>
      <scheme val="minor"/>
    </font>
    <font>
      <sz val="12"/>
      <color rgb="FF000000"/>
      <name val="Calibri"/>
      <family val="2"/>
      <scheme val="minor"/>
    </font>
    <font>
      <sz val="14"/>
      <color theme="1"/>
      <name val="Calibri"/>
      <family val="2"/>
      <scheme val="minor"/>
    </font>
    <font>
      <b/>
      <i/>
      <sz val="14"/>
      <color theme="1"/>
      <name val="Calibri"/>
      <family val="2"/>
      <scheme val="minor"/>
    </font>
    <font>
      <sz val="12"/>
      <color theme="1"/>
      <name val="Aptos Narrow"/>
    </font>
    <font>
      <sz val="11"/>
      <color theme="1"/>
      <name val="Calibri"/>
      <family val="2"/>
    </font>
    <font>
      <i/>
      <sz val="9"/>
      <name val="Calibri"/>
      <family val="2"/>
      <scheme val="minor"/>
    </font>
    <font>
      <sz val="8"/>
      <name val="Calibri"/>
      <family val="2"/>
      <scheme val="minor"/>
    </font>
    <font>
      <i/>
      <sz val="11"/>
      <name val="Calibri"/>
      <family val="2"/>
      <scheme val="minor"/>
    </font>
    <font>
      <i/>
      <sz val="16"/>
      <color theme="1"/>
      <name val="Calibri"/>
      <family val="2"/>
      <scheme val="minor"/>
    </font>
    <font>
      <sz val="20"/>
      <name val="Calibri"/>
      <family val="2"/>
    </font>
    <font>
      <b/>
      <sz val="8"/>
      <name val="Calibri"/>
      <family val="2"/>
      <scheme val="minor"/>
    </font>
    <font>
      <sz val="7"/>
      <name val="Aptos Narrow"/>
    </font>
    <font>
      <sz val="8"/>
      <name val="Aptos Narrow"/>
    </font>
    <font>
      <sz val="10.5"/>
      <color theme="1"/>
      <name val="Calibri"/>
      <family val="2"/>
      <scheme val="minor"/>
    </font>
    <font>
      <sz val="9"/>
      <color theme="1"/>
      <name val="Calibri"/>
      <family val="2"/>
    </font>
    <font>
      <sz val="8"/>
      <color theme="1"/>
      <name val="Calibri"/>
      <family val="2"/>
    </font>
    <font>
      <sz val="18"/>
      <color theme="1"/>
      <name val="Calibri"/>
      <family val="2"/>
    </font>
    <font>
      <sz val="14"/>
      <color theme="1"/>
      <name val="Calibri"/>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4" fillId="0" borderId="0" applyFont="0" applyFill="0" applyBorder="0" applyAlignment="0" applyProtection="0"/>
  </cellStyleXfs>
  <cellXfs count="162">
    <xf numFmtId="0" fontId="0" fillId="0" borderId="0" xfId="0"/>
    <xf numFmtId="0" fontId="15" fillId="0" borderId="0" xfId="0" applyFont="1" applyAlignment="1">
      <alignment vertical="center"/>
    </xf>
    <xf numFmtId="165" fontId="18" fillId="0" borderId="0" xfId="0" applyNumberFormat="1" applyFont="1" applyAlignment="1">
      <alignment horizontal="center" vertical="center"/>
    </xf>
    <xf numFmtId="37" fontId="19" fillId="0" borderId="0" xfId="0" applyNumberFormat="1" applyFont="1" applyAlignment="1">
      <alignment vertical="center"/>
    </xf>
    <xf numFmtId="37" fontId="20" fillId="0" borderId="0" xfId="0" applyNumberFormat="1" applyFont="1" applyAlignment="1">
      <alignment vertical="center"/>
    </xf>
    <xf numFmtId="37" fontId="19" fillId="0" borderId="0" xfId="0" quotePrefix="1" applyNumberFormat="1" applyFont="1" applyAlignment="1">
      <alignment vertical="center"/>
    </xf>
    <xf numFmtId="37" fontId="18" fillId="0" borderId="0" xfId="0" applyNumberFormat="1" applyFont="1" applyAlignment="1">
      <alignment horizontal="right" vertical="center"/>
    </xf>
    <xf numFmtId="37" fontId="17" fillId="0" borderId="0" xfId="0" applyNumberFormat="1" applyFont="1" applyAlignment="1">
      <alignment vertical="center"/>
    </xf>
    <xf numFmtId="37" fontId="18" fillId="0" borderId="0" xfId="0" quotePrefix="1" applyNumberFormat="1" applyFont="1" applyAlignment="1">
      <alignment horizontal="right" vertical="center"/>
    </xf>
    <xf numFmtId="0" fontId="21" fillId="0" borderId="1" xfId="0" quotePrefix="1" applyFont="1" applyBorder="1" applyAlignment="1">
      <alignment vertical="center"/>
    </xf>
    <xf numFmtId="37" fontId="19" fillId="0" borderId="1" xfId="0" applyNumberFormat="1" applyFont="1" applyBorder="1" applyAlignment="1">
      <alignment vertical="center"/>
    </xf>
    <xf numFmtId="37" fontId="18" fillId="0" borderId="1" xfId="0" applyNumberFormat="1" applyFont="1" applyBorder="1" applyAlignment="1">
      <alignment horizontal="right" vertical="center"/>
    </xf>
    <xf numFmtId="37" fontId="16" fillId="0" borderId="1" xfId="0" applyNumberFormat="1" applyFont="1" applyBorder="1" applyAlignment="1">
      <alignment horizontal="center" vertical="center"/>
    </xf>
    <xf numFmtId="37" fontId="16" fillId="0" borderId="0" xfId="0" applyNumberFormat="1" applyFont="1" applyAlignment="1">
      <alignment horizontal="center" vertical="center"/>
    </xf>
    <xf numFmtId="37" fontId="16" fillId="0" borderId="0" xfId="0" applyNumberFormat="1" applyFont="1" applyAlignment="1">
      <alignment vertical="center"/>
    </xf>
    <xf numFmtId="5" fontId="16" fillId="0" borderId="0" xfId="0" applyNumberFormat="1" applyFont="1" applyAlignment="1">
      <alignment horizontal="center" vertical="center"/>
    </xf>
    <xf numFmtId="5" fontId="16" fillId="0" borderId="3" xfId="0" applyNumberFormat="1" applyFont="1" applyBorder="1" applyAlignment="1">
      <alignment horizontal="center" vertical="center"/>
    </xf>
    <xf numFmtId="5" fontId="16" fillId="0" borderId="2" xfId="0" applyNumberFormat="1" applyFont="1" applyBorder="1" applyAlignment="1">
      <alignment horizontal="center" vertical="center"/>
    </xf>
    <xf numFmtId="166" fontId="16" fillId="0" borderId="0" xfId="0" applyNumberFormat="1" applyFont="1" applyAlignment="1">
      <alignment horizontal="center" vertical="center"/>
    </xf>
    <xf numFmtId="0" fontId="22" fillId="0" borderId="0" xfId="0" applyFont="1" applyAlignment="1">
      <alignment vertical="center"/>
    </xf>
    <xf numFmtId="0" fontId="16" fillId="0" borderId="0" xfId="0" applyFont="1" applyAlignment="1">
      <alignment vertical="center"/>
    </xf>
    <xf numFmtId="0" fontId="18" fillId="0" borderId="0" xfId="0" quotePrefix="1" applyFont="1" applyAlignment="1">
      <alignment horizontal="right" vertical="center"/>
    </xf>
    <xf numFmtId="0" fontId="19" fillId="0" borderId="0" xfId="0" applyFont="1" applyAlignment="1">
      <alignment vertical="center"/>
    </xf>
    <xf numFmtId="0" fontId="19" fillId="0" borderId="0" xfId="0" applyFont="1" applyAlignment="1">
      <alignment horizontal="center" vertical="center"/>
    </xf>
    <xf numFmtId="164" fontId="19" fillId="0" borderId="0" xfId="0" applyNumberFormat="1" applyFont="1" applyAlignment="1">
      <alignment horizontal="center" vertical="center"/>
    </xf>
    <xf numFmtId="0" fontId="18"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horizontal="right" vertical="center"/>
    </xf>
    <xf numFmtId="167" fontId="19" fillId="0" borderId="0" xfId="0" applyNumberFormat="1" applyFont="1" applyAlignment="1">
      <alignment horizontal="center" vertical="center"/>
    </xf>
    <xf numFmtId="9" fontId="16" fillId="0" borderId="3" xfId="1" applyFont="1" applyBorder="1" applyAlignment="1">
      <alignment horizontal="center" vertical="center"/>
    </xf>
    <xf numFmtId="9" fontId="16" fillId="0" borderId="0" xfId="1" applyFont="1" applyBorder="1" applyAlignment="1">
      <alignment horizontal="center" vertical="center"/>
    </xf>
    <xf numFmtId="37" fontId="18" fillId="0" borderId="0" xfId="0" applyNumberFormat="1" applyFont="1" applyAlignment="1">
      <alignment horizontal="left" vertical="center"/>
    </xf>
    <xf numFmtId="165" fontId="18" fillId="0" borderId="0" xfId="0" applyNumberFormat="1" applyFont="1" applyAlignment="1">
      <alignment horizontal="center"/>
    </xf>
    <xf numFmtId="37" fontId="16" fillId="0" borderId="0" xfId="0" applyNumberFormat="1" applyFont="1" applyAlignment="1">
      <alignment horizontal="left" vertical="center"/>
    </xf>
    <xf numFmtId="0" fontId="25" fillId="0" borderId="0" xfId="0" applyFont="1" applyAlignment="1">
      <alignment vertical="center"/>
    </xf>
    <xf numFmtId="37" fontId="26" fillId="0" borderId="0" xfId="0" applyNumberFormat="1" applyFont="1" applyAlignment="1">
      <alignment horizontal="right" vertical="center"/>
    </xf>
    <xf numFmtId="0" fontId="16" fillId="0" borderId="0" xfId="0" quotePrefix="1" applyFont="1" applyAlignment="1">
      <alignment horizontal="right" vertical="center"/>
    </xf>
    <xf numFmtId="37" fontId="13" fillId="0" borderId="0" xfId="0" applyNumberFormat="1"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168" fontId="12" fillId="0" borderId="3" xfId="1" applyNumberFormat="1" applyFont="1" applyBorder="1" applyAlignment="1">
      <alignment horizontal="center" vertical="center"/>
    </xf>
    <xf numFmtId="9" fontId="12" fillId="0" borderId="3" xfId="1" applyFont="1" applyBorder="1" applyAlignment="1">
      <alignment horizontal="center" vertical="center"/>
    </xf>
    <xf numFmtId="168" fontId="12" fillId="0" borderId="4" xfId="1" applyNumberFormat="1" applyFont="1" applyBorder="1" applyAlignment="1">
      <alignment horizontal="center" vertical="center"/>
    </xf>
    <xf numFmtId="168" fontId="12" fillId="0" borderId="0" xfId="1" applyNumberFormat="1" applyFont="1" applyBorder="1" applyAlignment="1">
      <alignment horizontal="center" vertical="center"/>
    </xf>
    <xf numFmtId="0" fontId="22" fillId="0" borderId="0" xfId="0" applyFont="1"/>
    <xf numFmtId="37" fontId="27" fillId="0" borderId="1" xfId="0" applyNumberFormat="1" applyFont="1" applyBorder="1" applyAlignment="1">
      <alignment horizontal="center" vertical="center"/>
    </xf>
    <xf numFmtId="0" fontId="29" fillId="0" borderId="0" xfId="0" applyFont="1"/>
    <xf numFmtId="39" fontId="18" fillId="0" borderId="0" xfId="0" applyNumberFormat="1" applyFont="1" applyAlignment="1">
      <alignment vertical="center"/>
    </xf>
    <xf numFmtId="37" fontId="11" fillId="0" borderId="0" xfId="0" applyNumberFormat="1" applyFont="1" applyAlignment="1">
      <alignment vertical="center"/>
    </xf>
    <xf numFmtId="37" fontId="10" fillId="0" borderId="0" xfId="0" applyNumberFormat="1" applyFont="1" applyAlignment="1">
      <alignment vertical="center"/>
    </xf>
    <xf numFmtId="0" fontId="22" fillId="0" borderId="1" xfId="0" applyFont="1" applyBorder="1" applyAlignment="1">
      <alignment vertical="center"/>
    </xf>
    <xf numFmtId="37" fontId="9" fillId="0" borderId="0" xfId="0" applyNumberFormat="1" applyFont="1" applyAlignment="1">
      <alignment vertical="center"/>
    </xf>
    <xf numFmtId="169" fontId="25" fillId="0" borderId="0" xfId="0" applyNumberFormat="1" applyFont="1" applyAlignment="1">
      <alignment horizontal="left" vertical="center"/>
    </xf>
    <xf numFmtId="0" fontId="29" fillId="0" borderId="0" xfId="0" applyFont="1" applyAlignment="1">
      <alignment horizontal="left"/>
    </xf>
    <xf numFmtId="0" fontId="29" fillId="0" borderId="0" xfId="0" applyFont="1" applyAlignment="1">
      <alignment horizontal="left" wrapText="1"/>
    </xf>
    <xf numFmtId="0" fontId="31" fillId="0" borderId="0" xfId="0" applyFont="1" applyAlignment="1">
      <alignment horizontal="left" wrapText="1"/>
    </xf>
    <xf numFmtId="0" fontId="32" fillId="0" borderId="0" xfId="0" applyFont="1" applyAlignment="1">
      <alignment horizontal="left"/>
    </xf>
    <xf numFmtId="0" fontId="28" fillId="0" borderId="0" xfId="0" applyFont="1" applyAlignment="1">
      <alignment horizontal="left" wrapText="1"/>
    </xf>
    <xf numFmtId="0" fontId="30" fillId="0" borderId="0" xfId="0" applyFont="1" applyAlignment="1">
      <alignment horizontal="left"/>
    </xf>
    <xf numFmtId="0" fontId="34" fillId="0" borderId="0" xfId="0" applyFont="1" applyAlignment="1">
      <alignment horizontal="left" wrapText="1"/>
    </xf>
    <xf numFmtId="0" fontId="0" fillId="0" borderId="0" xfId="0" applyAlignment="1">
      <alignment vertical="center" wrapText="1"/>
    </xf>
    <xf numFmtId="169" fontId="35" fillId="0" borderId="0" xfId="0" applyNumberFormat="1" applyFont="1" applyAlignment="1">
      <alignment horizontal="left" vertical="center"/>
    </xf>
    <xf numFmtId="0" fontId="15" fillId="0" borderId="0" xfId="0" quotePrefix="1" applyFont="1" applyAlignment="1">
      <alignment horizontal="right" vertical="center"/>
    </xf>
    <xf numFmtId="0" fontId="15" fillId="0" borderId="0" xfId="0"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left" vertical="center"/>
    </xf>
    <xf numFmtId="0" fontId="8" fillId="0" borderId="0" xfId="0" applyFont="1" applyAlignment="1">
      <alignment vertical="center"/>
    </xf>
    <xf numFmtId="170" fontId="12" fillId="0" borderId="1" xfId="1" applyNumberFormat="1" applyFont="1" applyBorder="1" applyAlignment="1">
      <alignment horizontal="center" vertical="center"/>
    </xf>
    <xf numFmtId="37" fontId="15" fillId="0" borderId="0" xfId="0" applyNumberFormat="1" applyFont="1" applyAlignment="1">
      <alignment vertical="center"/>
    </xf>
    <xf numFmtId="0" fontId="0" fillId="0" borderId="0" xfId="0" applyAlignment="1">
      <alignment vertical="center"/>
    </xf>
    <xf numFmtId="0" fontId="0" fillId="0" borderId="0" xfId="0" applyAlignment="1">
      <alignment vertical="top"/>
    </xf>
    <xf numFmtId="0" fontId="0" fillId="0" borderId="0" xfId="0" applyAlignment="1">
      <alignment wrapText="1"/>
    </xf>
    <xf numFmtId="0" fontId="0" fillId="0" borderId="0" xfId="0" applyAlignment="1">
      <alignment horizontal="right"/>
    </xf>
    <xf numFmtId="1" fontId="16" fillId="0" borderId="0" xfId="1" applyNumberFormat="1" applyFont="1" applyBorder="1" applyAlignment="1">
      <alignment horizontal="center" vertical="center"/>
    </xf>
    <xf numFmtId="0" fontId="21" fillId="0" borderId="0" xfId="0" quotePrefix="1" applyFont="1" applyAlignment="1">
      <alignment vertical="center"/>
    </xf>
    <xf numFmtId="0" fontId="36" fillId="0" borderId="0" xfId="0" quotePrefix="1" applyFont="1" applyAlignment="1">
      <alignment horizontal="right" vertical="center"/>
    </xf>
    <xf numFmtId="5" fontId="37" fillId="0" borderId="0" xfId="0" applyNumberFormat="1" applyFont="1" applyAlignment="1">
      <alignment horizontal="center" vertical="center"/>
    </xf>
    <xf numFmtId="164" fontId="20" fillId="0" borderId="0" xfId="0" applyNumberFormat="1" applyFont="1" applyAlignment="1">
      <alignment horizontal="center" vertical="center"/>
    </xf>
    <xf numFmtId="9" fontId="20" fillId="0" borderId="0" xfId="1" applyFont="1" applyAlignment="1">
      <alignment horizontal="center" vertical="center"/>
    </xf>
    <xf numFmtId="9" fontId="20" fillId="0" borderId="0" xfId="1" applyFont="1" applyBorder="1" applyAlignment="1">
      <alignment horizontal="center" vertical="center"/>
    </xf>
    <xf numFmtId="0" fontId="38" fillId="0" borderId="0" xfId="0" applyFont="1" applyAlignment="1">
      <alignment vertical="center"/>
    </xf>
    <xf numFmtId="0" fontId="28" fillId="0" borderId="5" xfId="0" applyFont="1" applyBorder="1" applyAlignment="1">
      <alignment vertical="center" wrapText="1"/>
    </xf>
    <xf numFmtId="167" fontId="18" fillId="0" borderId="0" xfId="1" applyNumberFormat="1" applyFont="1" applyAlignment="1">
      <alignment vertical="center"/>
    </xf>
    <xf numFmtId="0" fontId="28" fillId="0" borderId="5" xfId="0" applyFont="1" applyBorder="1" applyAlignment="1">
      <alignment horizontal="left" vertical="center" wrapText="1"/>
    </xf>
    <xf numFmtId="1" fontId="16" fillId="0" borderId="3" xfId="1" applyNumberFormat="1" applyFont="1" applyBorder="1" applyAlignment="1">
      <alignment horizontal="center"/>
    </xf>
    <xf numFmtId="0" fontId="22" fillId="0" borderId="1" xfId="0" applyFont="1" applyBorder="1"/>
    <xf numFmtId="0" fontId="7" fillId="0" borderId="0" xfId="0" applyFont="1" applyAlignment="1">
      <alignment vertical="center"/>
    </xf>
    <xf numFmtId="1" fontId="12" fillId="0" borderId="3" xfId="1" applyNumberFormat="1" applyFont="1" applyBorder="1" applyAlignment="1">
      <alignment horizontal="center" vertical="center"/>
    </xf>
    <xf numFmtId="37" fontId="41" fillId="0" borderId="0" xfId="0" applyNumberFormat="1" applyFont="1" applyAlignment="1">
      <alignment horizontal="center" vertical="center"/>
    </xf>
    <xf numFmtId="37" fontId="42" fillId="0" borderId="0" xfId="0" applyNumberFormat="1" applyFont="1" applyAlignment="1">
      <alignment vertical="center"/>
    </xf>
    <xf numFmtId="37" fontId="6" fillId="0" borderId="0" xfId="0" applyNumberFormat="1" applyFont="1" applyAlignment="1">
      <alignment vertical="center"/>
    </xf>
    <xf numFmtId="37" fontId="23" fillId="0" borderId="6" xfId="0" applyNumberFormat="1" applyFont="1" applyBorder="1" applyAlignment="1">
      <alignment horizontal="left" vertical="center"/>
    </xf>
    <xf numFmtId="0" fontId="16" fillId="0" borderId="7" xfId="0" applyFont="1" applyBorder="1" applyAlignment="1">
      <alignment vertical="center"/>
    </xf>
    <xf numFmtId="0" fontId="0" fillId="0" borderId="7" xfId="0" applyBorder="1" applyAlignment="1">
      <alignment vertical="center"/>
    </xf>
    <xf numFmtId="5" fontId="0" fillId="0" borderId="7" xfId="0" applyNumberFormat="1" applyBorder="1" applyAlignment="1">
      <alignment vertical="center"/>
    </xf>
    <xf numFmtId="37" fontId="23" fillId="0" borderId="9" xfId="0" applyNumberFormat="1" applyFont="1" applyBorder="1" applyAlignment="1">
      <alignment horizontal="left" vertical="center"/>
    </xf>
    <xf numFmtId="37" fontId="23" fillId="0" borderId="11" xfId="0" applyNumberFormat="1" applyFont="1" applyBorder="1" applyAlignment="1">
      <alignment horizontal="left" vertical="top"/>
    </xf>
    <xf numFmtId="0" fontId="0" fillId="0" borderId="12" xfId="0" applyBorder="1" applyAlignment="1">
      <alignment vertical="center"/>
    </xf>
    <xf numFmtId="0" fontId="6" fillId="0" borderId="0" xfId="0" applyFont="1" applyAlignment="1">
      <alignment vertical="center"/>
    </xf>
    <xf numFmtId="0" fontId="0" fillId="0" borderId="7" xfId="0" applyBorder="1"/>
    <xf numFmtId="0" fontId="16" fillId="0" borderId="12" xfId="0" applyFont="1" applyBorder="1" applyAlignment="1">
      <alignment vertical="center"/>
    </xf>
    <xf numFmtId="0" fontId="5" fillId="0" borderId="0" xfId="0" applyFont="1" applyAlignment="1">
      <alignment vertical="center"/>
    </xf>
    <xf numFmtId="0" fontId="16" fillId="0" borderId="8" xfId="0" applyFont="1" applyBorder="1" applyAlignment="1">
      <alignment vertical="center"/>
    </xf>
    <xf numFmtId="0" fontId="16" fillId="0" borderId="10" xfId="0" applyFont="1" applyBorder="1" applyAlignment="1">
      <alignment vertical="center"/>
    </xf>
    <xf numFmtId="0" fontId="16" fillId="0" borderId="13" xfId="0" applyFont="1" applyBorder="1" applyAlignment="1">
      <alignment vertical="center"/>
    </xf>
    <xf numFmtId="37" fontId="5" fillId="0" borderId="0" xfId="0" applyNumberFormat="1" applyFont="1" applyAlignment="1">
      <alignment vertical="center"/>
    </xf>
    <xf numFmtId="37" fontId="18" fillId="0" borderId="0" xfId="0" applyNumberFormat="1" applyFont="1" applyAlignment="1">
      <alignment horizontal="center"/>
    </xf>
    <xf numFmtId="171" fontId="16" fillId="0" borderId="4" xfId="0" applyNumberFormat="1" applyFont="1" applyBorder="1" applyAlignment="1">
      <alignment horizontal="center" vertical="center"/>
    </xf>
    <xf numFmtId="0" fontId="41" fillId="0" borderId="4" xfId="0" applyFont="1" applyBorder="1" applyAlignment="1">
      <alignment horizontal="center" vertical="center"/>
    </xf>
    <xf numFmtId="37" fontId="44" fillId="0" borderId="0" xfId="0" applyNumberFormat="1" applyFont="1" applyAlignment="1">
      <alignment vertical="center"/>
    </xf>
    <xf numFmtId="9" fontId="44" fillId="0" borderId="0" xfId="1" applyFont="1" applyBorder="1" applyAlignment="1">
      <alignment horizontal="center" vertical="center"/>
    </xf>
    <xf numFmtId="0" fontId="4" fillId="0" borderId="0" xfId="0" applyFont="1" applyAlignment="1">
      <alignment vertical="center"/>
    </xf>
    <xf numFmtId="1" fontId="18" fillId="0" borderId="0" xfId="1" applyNumberFormat="1" applyFont="1" applyBorder="1" applyAlignment="1">
      <alignment horizontal="left"/>
    </xf>
    <xf numFmtId="0" fontId="47" fillId="0" borderId="0" xfId="0" applyFont="1"/>
    <xf numFmtId="37" fontId="19" fillId="0" borderId="0" xfId="0" applyNumberFormat="1" applyFont="1" applyAlignment="1">
      <alignment vertical="top"/>
    </xf>
    <xf numFmtId="37" fontId="18" fillId="0" borderId="0" xfId="0" applyNumberFormat="1" applyFont="1" applyAlignment="1">
      <alignment horizontal="left" vertical="top"/>
    </xf>
    <xf numFmtId="37" fontId="42" fillId="0" borderId="0" xfId="0" applyNumberFormat="1" applyFont="1" applyAlignment="1">
      <alignment vertical="top"/>
    </xf>
    <xf numFmtId="5" fontId="16" fillId="0" borderId="0" xfId="0" applyNumberFormat="1" applyFont="1" applyAlignment="1">
      <alignment horizontal="center" vertical="top"/>
    </xf>
    <xf numFmtId="37" fontId="19" fillId="0" borderId="0" xfId="0" applyNumberFormat="1" applyFont="1"/>
    <xf numFmtId="37" fontId="42" fillId="0" borderId="0" xfId="0" applyNumberFormat="1" applyFont="1"/>
    <xf numFmtId="5" fontId="16" fillId="0" borderId="0" xfId="0" applyNumberFormat="1" applyFont="1" applyAlignment="1">
      <alignment horizontal="center"/>
    </xf>
    <xf numFmtId="5" fontId="37" fillId="0" borderId="0" xfId="0" applyNumberFormat="1" applyFont="1" applyAlignment="1">
      <alignment horizontal="center"/>
    </xf>
    <xf numFmtId="9" fontId="19" fillId="0" borderId="3" xfId="0" applyNumberFormat="1" applyFont="1" applyBorder="1" applyAlignment="1">
      <alignment horizontal="center" vertical="center"/>
    </xf>
    <xf numFmtId="9" fontId="5" fillId="0" borderId="3" xfId="1" applyFont="1" applyBorder="1" applyAlignment="1">
      <alignment horizontal="center" vertical="center"/>
    </xf>
    <xf numFmtId="0" fontId="32" fillId="0" borderId="0" xfId="0" applyFont="1"/>
    <xf numFmtId="0" fontId="32" fillId="0" borderId="0" xfId="0" applyFont="1" applyAlignment="1">
      <alignment horizontal="right"/>
    </xf>
    <xf numFmtId="0" fontId="32" fillId="0" borderId="0" xfId="0" quotePrefix="1" applyFont="1" applyAlignment="1">
      <alignment horizontal="right"/>
    </xf>
    <xf numFmtId="1" fontId="20" fillId="0" borderId="0" xfId="0" applyNumberFormat="1" applyFont="1" applyAlignment="1">
      <alignment horizontal="center" vertical="center"/>
    </xf>
    <xf numFmtId="0" fontId="42" fillId="0" borderId="0" xfId="0" applyFont="1" applyAlignment="1">
      <alignment vertical="center"/>
    </xf>
    <xf numFmtId="37" fontId="49" fillId="0" borderId="0" xfId="0" applyNumberFormat="1" applyFont="1"/>
    <xf numFmtId="0" fontId="51" fillId="0" borderId="0" xfId="0" applyFont="1" applyAlignment="1">
      <alignment vertical="center"/>
    </xf>
    <xf numFmtId="0" fontId="52" fillId="0" borderId="0" xfId="0" quotePrefix="1" applyFont="1" applyAlignment="1">
      <alignment horizontal="right"/>
    </xf>
    <xf numFmtId="0" fontId="52" fillId="0" borderId="0" xfId="0" applyFont="1"/>
    <xf numFmtId="0" fontId="53" fillId="0" borderId="0" xfId="0" quotePrefix="1" applyFont="1" applyAlignment="1">
      <alignment horizontal="right" vertical="center"/>
    </xf>
    <xf numFmtId="0" fontId="50" fillId="0" borderId="0" xfId="0" applyFont="1" applyAlignment="1">
      <alignment vertical="center"/>
    </xf>
    <xf numFmtId="37" fontId="3" fillId="0" borderId="0" xfId="0" quotePrefix="1" applyNumberFormat="1" applyFont="1" applyAlignment="1">
      <alignment vertical="center"/>
    </xf>
    <xf numFmtId="37" fontId="2" fillId="0" borderId="0" xfId="0" applyNumberFormat="1" applyFont="1" applyAlignment="1">
      <alignment vertical="center"/>
    </xf>
    <xf numFmtId="0" fontId="16" fillId="0" borderId="0" xfId="0" applyFont="1"/>
    <xf numFmtId="37" fontId="2" fillId="0" borderId="1" xfId="0" applyNumberFormat="1" applyFont="1" applyBorder="1" applyAlignment="1">
      <alignment vertical="center"/>
    </xf>
    <xf numFmtId="37" fontId="2" fillId="0" borderId="0" xfId="0" quotePrefix="1" applyNumberFormat="1" applyFont="1" applyAlignment="1">
      <alignment vertical="center"/>
    </xf>
    <xf numFmtId="37" fontId="56" fillId="0" borderId="0" xfId="0" applyNumberFormat="1" applyFont="1" applyAlignment="1">
      <alignment vertical="center"/>
    </xf>
    <xf numFmtId="37" fontId="2" fillId="0" borderId="0" xfId="0" applyNumberFormat="1" applyFont="1" applyAlignment="1">
      <alignment horizontal="center" vertical="center"/>
    </xf>
    <xf numFmtId="37" fontId="47" fillId="0" borderId="0" xfId="0" applyNumberFormat="1" applyFont="1" applyAlignment="1">
      <alignment vertical="center"/>
    </xf>
    <xf numFmtId="37" fontId="57" fillId="0" borderId="1" xfId="0" applyNumberFormat="1" applyFont="1" applyBorder="1" applyAlignment="1">
      <alignment horizontal="center" vertical="center"/>
    </xf>
    <xf numFmtId="37" fontId="58" fillId="0" borderId="0" xfId="0" applyNumberFormat="1" applyFont="1" applyAlignment="1">
      <alignment horizontal="right" vertical="center"/>
    </xf>
    <xf numFmtId="37" fontId="58" fillId="0" borderId="0" xfId="0" quotePrefix="1" applyNumberFormat="1" applyFont="1" applyAlignment="1">
      <alignment horizontal="right" vertical="center"/>
    </xf>
    <xf numFmtId="37" fontId="47" fillId="0" borderId="0" xfId="0" applyNumberFormat="1" applyFont="1" applyAlignment="1">
      <alignment horizontal="center" vertical="center"/>
    </xf>
    <xf numFmtId="37" fontId="29" fillId="0" borderId="0" xfId="0" applyNumberFormat="1" applyFont="1" applyAlignment="1">
      <alignment vertical="center"/>
    </xf>
    <xf numFmtId="37" fontId="29" fillId="0" borderId="0" xfId="0" applyNumberFormat="1" applyFont="1" applyAlignment="1">
      <alignment horizontal="right" vertical="center"/>
    </xf>
    <xf numFmtId="37" fontId="47" fillId="0" borderId="1" xfId="0" applyNumberFormat="1" applyFont="1" applyBorder="1" applyAlignment="1">
      <alignment horizontal="center" vertical="center"/>
    </xf>
    <xf numFmtId="37" fontId="47" fillId="0" borderId="1" xfId="0" applyNumberFormat="1" applyFont="1" applyBorder="1" applyAlignment="1">
      <alignment horizontal="center"/>
    </xf>
    <xf numFmtId="37" fontId="47" fillId="0" borderId="2" xfId="0" applyNumberFormat="1" applyFont="1" applyBorder="1" applyAlignment="1">
      <alignment horizontal="center" vertical="center"/>
    </xf>
    <xf numFmtId="37" fontId="59" fillId="0" borderId="0" xfId="0" applyNumberFormat="1" applyFont="1" applyAlignment="1">
      <alignment horizontal="left" vertical="center"/>
    </xf>
    <xf numFmtId="165" fontId="58" fillId="0" borderId="0" xfId="0" applyNumberFormat="1" applyFont="1" applyAlignment="1">
      <alignment horizontal="right" vertical="center"/>
    </xf>
    <xf numFmtId="37" fontId="47" fillId="0" borderId="0" xfId="0" applyNumberFormat="1" applyFont="1" applyAlignment="1">
      <alignment horizontal="right" vertical="center"/>
    </xf>
    <xf numFmtId="165" fontId="58" fillId="0" borderId="0" xfId="0" applyNumberFormat="1" applyFont="1" applyAlignment="1">
      <alignment horizontal="center" vertical="center"/>
    </xf>
    <xf numFmtId="171" fontId="60" fillId="0" borderId="0" xfId="0" applyNumberFormat="1" applyFont="1" applyAlignment="1">
      <alignment horizontal="center" vertical="center"/>
    </xf>
    <xf numFmtId="0" fontId="28" fillId="0" borderId="14" xfId="0" applyFont="1" applyBorder="1" applyAlignment="1">
      <alignment horizontal="left" vertical="center" wrapText="1"/>
    </xf>
    <xf numFmtId="0" fontId="0" fillId="0" borderId="15" xfId="0" applyBorder="1" applyAlignment="1">
      <alignment vertical="center"/>
    </xf>
    <xf numFmtId="0" fontId="0" fillId="0" borderId="16" xfId="0" applyBorder="1" applyAlignment="1">
      <alignment vertical="center"/>
    </xf>
    <xf numFmtId="0" fontId="28" fillId="0" borderId="14" xfId="0" applyFont="1" applyBorder="1" applyAlignment="1">
      <alignment vertical="center" wrapText="1"/>
    </xf>
    <xf numFmtId="169" fontId="45" fillId="0" borderId="0" xfId="0" applyNumberFormat="1"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4147-4128-46CF-B8AD-591BFC11CDDE}">
  <sheetPr codeName="Sheet1"/>
  <dimension ref="B4:B24"/>
  <sheetViews>
    <sheetView showGridLines="0" showRowColHeaders="0" tabSelected="1" topLeftCell="A3" workbookViewId="0"/>
  </sheetViews>
  <sheetFormatPr defaultColWidth="9.140625" defaultRowHeight="21"/>
  <cols>
    <col min="1" max="1" width="4.140625" style="46" customWidth="1"/>
    <col min="2" max="2" width="100.7109375" style="46" customWidth="1"/>
    <col min="3" max="16384" width="9.140625" style="46"/>
  </cols>
  <sheetData>
    <row r="4" spans="2:2" ht="24" customHeight="1">
      <c r="B4" s="53"/>
    </row>
    <row r="5" spans="2:2" ht="26.25" customHeight="1">
      <c r="B5" s="56" t="s">
        <v>21</v>
      </c>
    </row>
    <row r="6" spans="2:2" ht="25.5" customHeight="1">
      <c r="B6" s="57"/>
    </row>
    <row r="7" spans="2:2" ht="63" customHeight="1">
      <c r="B7" s="54" t="s">
        <v>120</v>
      </c>
    </row>
    <row r="8" spans="2:2" ht="12" customHeight="1">
      <c r="B8" s="57"/>
    </row>
    <row r="9" spans="2:2" ht="105" customHeight="1">
      <c r="B9" s="54" t="s">
        <v>70</v>
      </c>
    </row>
    <row r="10" spans="2:2" ht="12" customHeight="1">
      <c r="B10" s="54"/>
    </row>
    <row r="11" spans="2:2" ht="84" customHeight="1">
      <c r="B11" s="54" t="s">
        <v>65</v>
      </c>
    </row>
    <row r="12" spans="2:2" ht="12" customHeight="1">
      <c r="B12" s="54"/>
    </row>
    <row r="13" spans="2:2" ht="84" customHeight="1">
      <c r="B13" s="55" t="s">
        <v>122</v>
      </c>
    </row>
    <row r="14" spans="2:2" ht="21" customHeight="1">
      <c r="B14" s="59" t="s">
        <v>20</v>
      </c>
    </row>
    <row r="15" spans="2:2" ht="12" customHeight="1">
      <c r="B15" s="58"/>
    </row>
    <row r="16" spans="2:2" ht="84" customHeight="1">
      <c r="B16" s="54" t="s">
        <v>124</v>
      </c>
    </row>
    <row r="17" spans="2:2" ht="21" customHeight="1">
      <c r="B17" s="53"/>
    </row>
    <row r="18" spans="2:2" ht="21" customHeight="1">
      <c r="B18" s="53" t="s">
        <v>22</v>
      </c>
    </row>
    <row r="19" spans="2:2" ht="21" customHeight="1">
      <c r="B19" s="53"/>
    </row>
    <row r="20" spans="2:2" ht="21" customHeight="1">
      <c r="B20" s="53"/>
    </row>
    <row r="21" spans="2:2" ht="21" customHeight="1" thickBot="1">
      <c r="B21" s="53"/>
    </row>
    <row r="22" spans="2:2" ht="126" customHeight="1" thickBot="1">
      <c r="B22" s="81" t="s">
        <v>125</v>
      </c>
    </row>
    <row r="23" spans="2:2" ht="21.75" thickBot="1"/>
    <row r="24" spans="2:2" ht="189" customHeight="1" thickBot="1">
      <c r="B24" s="83" t="s">
        <v>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4:BD77"/>
  <sheetViews>
    <sheetView showGridLines="0" showRowColHeaders="0" topLeftCell="A3" zoomScale="130" zoomScaleNormal="130" zoomScaleSheetLayoutView="100" workbookViewId="0"/>
  </sheetViews>
  <sheetFormatPr defaultColWidth="9.140625" defaultRowHeight="12.75"/>
  <cols>
    <col min="1" max="1" width="2.7109375" style="20" customWidth="1"/>
    <col min="2" max="2" width="1.7109375" style="20" customWidth="1"/>
    <col min="3" max="3" width="3.85546875" style="20" customWidth="1"/>
    <col min="4" max="4" width="18.85546875" style="20" customWidth="1"/>
    <col min="5" max="5" width="21.28515625" style="20" customWidth="1"/>
    <col min="6" max="6" width="5.42578125" style="20" customWidth="1"/>
    <col min="7" max="7" width="0.85546875" style="20" customWidth="1"/>
    <col min="8" max="56" width="8" style="20" customWidth="1"/>
    <col min="57" max="16384" width="9.140625" style="20"/>
  </cols>
  <sheetData>
    <row r="4" spans="1:32" ht="21" customHeight="1">
      <c r="B4" s="34" t="s">
        <v>69</v>
      </c>
      <c r="O4" s="47"/>
    </row>
    <row r="5" spans="1:32" s="111" customFormat="1" ht="21" customHeight="1">
      <c r="B5" s="130" t="s">
        <v>50</v>
      </c>
      <c r="D5" s="80"/>
      <c r="E5" s="80"/>
      <c r="F5" s="80"/>
      <c r="L5" s="113"/>
      <c r="M5" s="113"/>
      <c r="N5" s="113"/>
      <c r="O5" s="113"/>
      <c r="P5" s="113"/>
    </row>
    <row r="6" spans="1:32" ht="15.75">
      <c r="C6" s="19" t="s">
        <v>36</v>
      </c>
      <c r="L6"/>
      <c r="M6"/>
      <c r="N6"/>
      <c r="O6"/>
      <c r="P6"/>
    </row>
    <row r="7" spans="1:32" ht="15">
      <c r="A7" s="20" t="s">
        <v>19</v>
      </c>
      <c r="C7" s="2">
        <v>1</v>
      </c>
      <c r="D7" s="22" t="s">
        <v>12</v>
      </c>
      <c r="E7" s="22"/>
      <c r="F7" s="75" t="s">
        <v>13</v>
      </c>
      <c r="G7" s="23"/>
      <c r="H7" s="127">
        <v>7</v>
      </c>
      <c r="O7" s="71"/>
      <c r="P7"/>
    </row>
    <row r="8" spans="1:32" ht="4.5" customHeight="1">
      <c r="C8" s="2"/>
      <c r="D8" s="22"/>
      <c r="E8" s="22"/>
      <c r="F8" s="75"/>
      <c r="G8" s="23"/>
      <c r="H8" s="77"/>
      <c r="O8" s="70"/>
      <c r="P8"/>
    </row>
    <row r="9" spans="1:32" ht="15">
      <c r="A9" s="20" t="s">
        <v>19</v>
      </c>
      <c r="C9" s="2">
        <v>2</v>
      </c>
      <c r="D9" s="128" t="s">
        <v>107</v>
      </c>
      <c r="E9" s="22"/>
      <c r="F9" s="75" t="s">
        <v>13</v>
      </c>
      <c r="G9" s="23"/>
      <c r="H9" s="79">
        <v>0.16</v>
      </c>
    </row>
    <row r="10" spans="1:32" ht="15">
      <c r="A10" s="20" t="s">
        <v>19</v>
      </c>
      <c r="C10" s="2">
        <v>3</v>
      </c>
      <c r="D10" s="111" t="s">
        <v>14</v>
      </c>
      <c r="E10" s="22"/>
      <c r="F10" s="75" t="s">
        <v>13</v>
      </c>
      <c r="G10" s="23"/>
      <c r="H10" s="79">
        <v>0.8</v>
      </c>
    </row>
    <row r="11" spans="1:32" ht="15">
      <c r="A11" s="20" t="s">
        <v>19</v>
      </c>
      <c r="C11" s="2">
        <v>4</v>
      </c>
      <c r="D11" s="111" t="s">
        <v>10</v>
      </c>
      <c r="E11" s="22"/>
      <c r="F11" s="75" t="s">
        <v>13</v>
      </c>
      <c r="G11" s="23"/>
      <c r="H11" s="78">
        <v>0.05</v>
      </c>
    </row>
    <row r="12" spans="1:32" ht="15">
      <c r="A12" s="20" t="s">
        <v>19</v>
      </c>
      <c r="C12" s="2">
        <v>5</v>
      </c>
      <c r="D12" s="111" t="s">
        <v>30</v>
      </c>
      <c r="E12" s="22"/>
      <c r="F12" s="75" t="s">
        <v>13</v>
      </c>
      <c r="G12" s="23"/>
      <c r="H12" s="78">
        <v>0.20000000000000034</v>
      </c>
    </row>
    <row r="13" spans="1:32" ht="15.75">
      <c r="C13" s="44" t="s">
        <v>23</v>
      </c>
      <c r="G13" s="26"/>
      <c r="H13" s="26"/>
      <c r="R13" s="3"/>
      <c r="S13" s="3"/>
      <c r="T13" s="3"/>
      <c r="X13" s="3"/>
      <c r="Y13" s="3"/>
      <c r="Z13" s="3"/>
      <c r="AB13" s="3"/>
      <c r="AC13" s="3"/>
      <c r="AD13" s="3"/>
      <c r="AF13" s="3"/>
    </row>
    <row r="14" spans="1:32" ht="15.75" thickBot="1">
      <c r="A14" s="20" t="s">
        <v>19</v>
      </c>
      <c r="B14" s="20" t="s">
        <v>19</v>
      </c>
      <c r="C14" s="2">
        <v>6</v>
      </c>
      <c r="D14" s="22" t="s">
        <v>11</v>
      </c>
      <c r="E14" s="22"/>
      <c r="F14" s="27" t="s">
        <v>74</v>
      </c>
      <c r="G14" s="23"/>
      <c r="H14" s="122">
        <f xml:space="preserve"> H9*(1-H10)/(1- H12)+H10*H11</f>
        <v>8.0000000000000016E-2</v>
      </c>
      <c r="P14" s="71"/>
      <c r="R14" s="69"/>
      <c r="S14" s="69"/>
      <c r="T14" s="3"/>
      <c r="X14" s="3"/>
      <c r="Y14" s="3"/>
      <c r="Z14" s="3"/>
      <c r="AB14" s="3"/>
      <c r="AC14" s="3"/>
      <c r="AD14" s="3"/>
      <c r="AF14" s="3"/>
    </row>
    <row r="15" spans="1:32" ht="16.5" thickTop="1">
      <c r="C15" s="19" t="s">
        <v>55</v>
      </c>
      <c r="D15" s="22"/>
      <c r="E15" s="22"/>
      <c r="F15" s="27"/>
      <c r="G15" s="23"/>
      <c r="H15" s="28"/>
      <c r="I15" s="39"/>
      <c r="J15" s="26"/>
      <c r="P15" s="70"/>
      <c r="R15" s="69"/>
      <c r="S15" s="69"/>
    </row>
    <row r="16" spans="1:32" ht="12.75" customHeight="1" thickBot="1">
      <c r="A16" s="20" t="s">
        <v>19</v>
      </c>
      <c r="C16" s="2">
        <v>7</v>
      </c>
      <c r="D16" s="101" t="s">
        <v>58</v>
      </c>
      <c r="E16" s="22"/>
      <c r="F16" s="133" t="s">
        <v>109</v>
      </c>
      <c r="H16" s="123">
        <v>7.0000000000000007E-2</v>
      </c>
      <c r="I16" s="91" t="str">
        <f>IF(ISERROR(H25),"#ERROR! May not be able to find a solution.",IF(ROUND(H17,H18)=0,"","SYNCH ISSUE: Line [8] is not zero;  Lines [10] &amp; [11] may not match Line [2]."))</f>
        <v/>
      </c>
      <c r="J16" s="92"/>
      <c r="K16" s="93"/>
      <c r="L16" s="94"/>
      <c r="M16" s="93"/>
      <c r="N16" s="99"/>
      <c r="O16" s="92"/>
      <c r="P16" s="102"/>
      <c r="R16" s="69"/>
      <c r="S16" s="69"/>
    </row>
    <row r="17" spans="1:37" ht="12.75" customHeight="1" thickTop="1" thickBot="1">
      <c r="C17" s="2">
        <v>8</v>
      </c>
      <c r="D17" s="128" t="s">
        <v>112</v>
      </c>
      <c r="E17" s="38"/>
      <c r="F17" s="27" t="s">
        <v>113</v>
      </c>
      <c r="G17" s="39"/>
      <c r="H17" s="107">
        <f>ROUND(PMT(H14,H30,-1)*H7 - PMT(H9,H30,-1)*(1-(1+H16)^H30/(1+H9)^H30)/(H9-H16),H18)</f>
        <v>0</v>
      </c>
      <c r="I17" s="95" t="str">
        <f>IF(ISERROR(H25),"Place a reasonable estimate in Line [7].",IF(ROUND(H17,H18)=0,"","Solution—Menu: Data, What-If Analysis, Goal Seek, Set cell: [8], To value: 0,"))</f>
        <v/>
      </c>
      <c r="K17" s="69"/>
      <c r="L17" s="69"/>
      <c r="M17" s="69"/>
      <c r="N17"/>
      <c r="P17" s="103"/>
      <c r="R17" s="69"/>
      <c r="S17" s="69"/>
    </row>
    <row r="18" spans="1:37" ht="12.75" customHeight="1" thickTop="1" thickBot="1">
      <c r="A18" s="20" t="s">
        <v>19</v>
      </c>
      <c r="B18" s="20" t="s">
        <v>19</v>
      </c>
      <c r="C18" s="2">
        <v>9</v>
      </c>
      <c r="D18" s="111" t="s">
        <v>71</v>
      </c>
      <c r="E18" s="38"/>
      <c r="F18" s="21" t="s">
        <v>13</v>
      </c>
      <c r="H18" s="108">
        <v>2</v>
      </c>
      <c r="I18" s="95" t="str">
        <f>IF(ISERROR(H25),"",IF(ROUND(H17,H18)=0,"","By changing: [7].  Line [9] should be set to the number of precision zeroes at"))</f>
        <v/>
      </c>
      <c r="K18" s="69"/>
      <c r="L18" s="69"/>
      <c r="M18" s="69"/>
      <c r="N18"/>
      <c r="P18" s="103"/>
      <c r="R18" s="69"/>
      <c r="S18" s="69"/>
    </row>
    <row r="19" spans="1:37" ht="16.5" customHeight="1" thickTop="1">
      <c r="B19" s="25" t="s">
        <v>110</v>
      </c>
      <c r="G19" s="23"/>
      <c r="I19" s="96" t="str">
        <f>IF(ISERROR(H25),"",IF(ROUND(H17,H18)=0,"","Maximum Change; See Menu: File, Options, Formulas, Calculation options."))</f>
        <v/>
      </c>
      <c r="J19" s="100"/>
      <c r="K19" s="100"/>
      <c r="L19" s="100"/>
      <c r="M19" s="100"/>
      <c r="N19" s="97"/>
      <c r="O19" s="100"/>
      <c r="P19" s="104"/>
      <c r="R19" s="69"/>
      <c r="S19" s="69"/>
      <c r="T19" s="3"/>
    </row>
    <row r="20" spans="1:37" s="1" customFormat="1" ht="19.5" customHeight="1">
      <c r="B20" s="61" t="s">
        <v>68</v>
      </c>
      <c r="F20" s="62"/>
      <c r="G20" s="63"/>
      <c r="H20" s="64"/>
      <c r="I20" s="65"/>
      <c r="M20" s="69"/>
      <c r="N20" s="69"/>
      <c r="O20" s="69"/>
      <c r="P20" s="69"/>
      <c r="R20" s="69"/>
      <c r="S20" s="69"/>
      <c r="T20" s="68"/>
    </row>
    <row r="21" spans="1:37" s="1" customFormat="1" ht="19.5" customHeight="1">
      <c r="B21" s="61" t="s">
        <v>67</v>
      </c>
      <c r="F21" s="62"/>
      <c r="G21" s="63"/>
      <c r="H21" s="64"/>
      <c r="I21" s="65"/>
      <c r="M21" s="69"/>
      <c r="N21" s="69"/>
      <c r="R21" s="69"/>
      <c r="S21" s="69"/>
      <c r="T21" s="68"/>
    </row>
    <row r="22" spans="1:37" ht="4.5" customHeight="1">
      <c r="B22" s="52"/>
      <c r="E22" s="22"/>
      <c r="F22" s="36"/>
      <c r="G22" s="23"/>
      <c r="H22" s="24"/>
      <c r="I22" s="25"/>
      <c r="O22" s="47"/>
      <c r="P22" s="47"/>
      <c r="R22" s="60"/>
      <c r="S22" s="60"/>
      <c r="T22" s="3"/>
    </row>
    <row r="23" spans="1:37" s="109" customFormat="1" ht="81" customHeight="1">
      <c r="B23" s="161" t="s">
        <v>118</v>
      </c>
      <c r="C23" s="161"/>
      <c r="D23" s="161"/>
      <c r="E23" s="161"/>
      <c r="F23" s="161"/>
      <c r="G23" s="161"/>
      <c r="H23" s="161"/>
      <c r="I23" s="161"/>
      <c r="J23" s="161"/>
      <c r="K23" s="161"/>
      <c r="L23" s="161"/>
      <c r="M23" s="161"/>
      <c r="N23" s="161"/>
      <c r="O23" s="161"/>
      <c r="P23" s="161"/>
      <c r="R23" s="110"/>
      <c r="S23" s="110"/>
      <c r="T23" s="110"/>
      <c r="X23" s="110"/>
      <c r="Y23" s="110"/>
      <c r="Z23" s="110"/>
      <c r="AA23" s="110"/>
      <c r="AB23" s="110"/>
      <c r="AC23" s="110"/>
      <c r="AD23" s="110"/>
      <c r="AE23" s="110"/>
      <c r="AF23" s="110"/>
      <c r="AG23" s="110"/>
      <c r="AH23" s="110"/>
      <c r="AI23" s="110"/>
      <c r="AJ23" s="110"/>
      <c r="AK23" s="110"/>
    </row>
    <row r="24" spans="1:37" s="3" customFormat="1" ht="16.5" customHeight="1">
      <c r="C24" s="9" t="s">
        <v>59</v>
      </c>
      <c r="D24" s="10"/>
      <c r="E24" s="10"/>
      <c r="F24" s="11"/>
      <c r="I24" s="33"/>
    </row>
    <row r="25" spans="1:37" s="3" customFormat="1" ht="12.75" customHeight="1" thickBot="1">
      <c r="A25" s="3" t="s">
        <v>19</v>
      </c>
      <c r="B25" s="3" t="s">
        <v>19</v>
      </c>
      <c r="C25" s="2">
        <v>10</v>
      </c>
      <c r="D25" s="49" t="s">
        <v>26</v>
      </c>
      <c r="F25" s="35"/>
      <c r="H25" s="41">
        <f>IRR(H65:BD65,H9)</f>
        <v>0.15978780011292226</v>
      </c>
      <c r="I25" s="31" t="s">
        <v>103</v>
      </c>
      <c r="K25" s="13"/>
      <c r="M25" s="13"/>
      <c r="N25" s="14"/>
      <c r="O25" s="14"/>
      <c r="P25" s="47"/>
    </row>
    <row r="26" spans="1:37" s="3" customFormat="1" ht="12.75" customHeight="1" thickTop="1" thickBot="1">
      <c r="C26" s="2">
        <v>11</v>
      </c>
      <c r="D26" s="49" t="s">
        <v>25</v>
      </c>
      <c r="F26" s="35"/>
      <c r="H26" s="41">
        <f>NPV(H9,I64:BD64)/NPV(H9,I63:BD63)</f>
        <v>0.15942715647956135</v>
      </c>
      <c r="I26" s="31" t="s">
        <v>104</v>
      </c>
      <c r="K26" s="13"/>
      <c r="M26" s="13"/>
      <c r="N26" s="14"/>
      <c r="O26" s="14"/>
      <c r="P26" s="47"/>
      <c r="R26" s="60"/>
      <c r="S26" s="60"/>
      <c r="T26" s="20"/>
      <c r="X26" s="20"/>
      <c r="Y26" s="20"/>
      <c r="Z26" s="20"/>
      <c r="AA26" s="20"/>
      <c r="AB26" s="20"/>
      <c r="AC26" s="20"/>
      <c r="AD26" s="20"/>
      <c r="AE26" s="20"/>
    </row>
    <row r="27" spans="1:37" s="3" customFormat="1" ht="12.75" customHeight="1" thickTop="1" thickBot="1">
      <c r="C27" s="2">
        <v>12</v>
      </c>
      <c r="D27" s="105" t="s">
        <v>60</v>
      </c>
      <c r="H27" s="40">
        <f>-NPV(H9,I65:BD65)</f>
        <v>139.79555529839084</v>
      </c>
      <c r="I27" s="31" t="s">
        <v>105</v>
      </c>
      <c r="K27" s="13"/>
      <c r="M27" s="13"/>
      <c r="N27" s="20"/>
      <c r="O27" s="20"/>
      <c r="P27" s="82"/>
    </row>
    <row r="28" spans="1:37" s="3" customFormat="1" ht="12.75" customHeight="1" thickTop="1" thickBot="1">
      <c r="C28" s="2">
        <v>13</v>
      </c>
      <c r="D28" s="48" t="s">
        <v>24</v>
      </c>
      <c r="H28" s="41">
        <f>H68</f>
        <v>0.19999999999999996</v>
      </c>
      <c r="I28" s="31" t="s">
        <v>106</v>
      </c>
      <c r="K28" s="13"/>
    </row>
    <row r="29" spans="1:37" s="3" customFormat="1" ht="12.75" customHeight="1" thickTop="1" thickBot="1">
      <c r="C29" s="2">
        <v>14</v>
      </c>
      <c r="D29" s="51" t="s">
        <v>29</v>
      </c>
      <c r="H29" s="42">
        <f ca="1">OFFSET(H66,0,H30,1,1)</f>
        <v>0</v>
      </c>
      <c r="I29" s="31" t="str">
        <f>"[41,"&amp;H30&amp;"]"</f>
        <v>[41,8]</v>
      </c>
      <c r="K29" s="13"/>
      <c r="P29" s="47"/>
    </row>
    <row r="30" spans="1:37" ht="12.75" customHeight="1" thickTop="1" thickBot="1">
      <c r="A30" s="20" t="s">
        <v>19</v>
      </c>
      <c r="C30" s="2">
        <v>15</v>
      </c>
      <c r="D30" s="128" t="s">
        <v>116</v>
      </c>
      <c r="E30" s="22"/>
      <c r="G30" s="23"/>
      <c r="H30" s="87">
        <f>COUNT(I49:BD49)</f>
        <v>8</v>
      </c>
      <c r="I30" s="25" t="s">
        <v>102</v>
      </c>
      <c r="L30"/>
      <c r="M30"/>
      <c r="N30" s="3"/>
      <c r="O30" s="3"/>
    </row>
    <row r="31" spans="1:37" ht="6" customHeight="1" thickTop="1">
      <c r="C31" s="1"/>
      <c r="N31" s="3"/>
      <c r="O31" s="3"/>
      <c r="R31" s="3"/>
      <c r="S31" s="3"/>
      <c r="T31" s="3"/>
      <c r="X31" s="3"/>
      <c r="AC31" s="3"/>
      <c r="AD31" s="3"/>
      <c r="AE31" s="3"/>
    </row>
    <row r="32" spans="1:37" s="3" customFormat="1" ht="15.75">
      <c r="C32" s="85" t="s">
        <v>72</v>
      </c>
      <c r="D32" s="50"/>
      <c r="E32" s="10"/>
      <c r="F32" s="10"/>
      <c r="G32" s="13"/>
      <c r="K32" s="13"/>
    </row>
    <row r="33" spans="1:56" s="3" customFormat="1" ht="12.75" customHeight="1">
      <c r="A33" s="3" t="s">
        <v>19</v>
      </c>
      <c r="B33" s="3" t="s">
        <v>19</v>
      </c>
      <c r="C33" s="2">
        <v>16</v>
      </c>
      <c r="D33" s="128" t="s">
        <v>117</v>
      </c>
      <c r="G33" s="13"/>
      <c r="H33" s="43">
        <f>NPV(H9,I49:BD49)*PMT(H9,H30,-1)</f>
        <v>121.77501114914023</v>
      </c>
      <c r="J33" s="31" t="s">
        <v>99</v>
      </c>
    </row>
    <row r="34" spans="1:56" s="3" customFormat="1" ht="12.75" customHeight="1">
      <c r="A34" s="3" t="s">
        <v>19</v>
      </c>
      <c r="B34" s="3" t="s">
        <v>19</v>
      </c>
      <c r="C34" s="2">
        <v>17</v>
      </c>
      <c r="D34" s="98" t="s">
        <v>51</v>
      </c>
      <c r="G34" s="13"/>
      <c r="H34" s="67">
        <f>PMT(H14,H30,-1)</f>
        <v>0.17401476059182214</v>
      </c>
      <c r="I34" s="31"/>
      <c r="J34" s="31" t="s">
        <v>100</v>
      </c>
      <c r="N34" s="30"/>
      <c r="O34" s="30"/>
    </row>
    <row r="35" spans="1:56" s="3" customFormat="1" ht="12.75" customHeight="1" thickBot="1">
      <c r="C35" s="2">
        <v>18</v>
      </c>
      <c r="D35" s="86" t="s">
        <v>40</v>
      </c>
      <c r="G35" s="13"/>
      <c r="H35" s="43"/>
      <c r="I35" s="40">
        <f>H33/H34</f>
        <v>699.79702144223199</v>
      </c>
      <c r="J35" s="31" t="s">
        <v>101</v>
      </c>
    </row>
    <row r="36" spans="1:56" s="3" customFormat="1" ht="5.25" customHeight="1" thickTop="1">
      <c r="C36" s="2"/>
      <c r="D36" s="66"/>
      <c r="G36" s="13"/>
      <c r="H36" s="43"/>
      <c r="I36" s="43"/>
      <c r="J36" s="31"/>
      <c r="AP36" s="90"/>
    </row>
    <row r="37" spans="1:56" s="3" customFormat="1" ht="15.75">
      <c r="C37" s="9" t="s">
        <v>28</v>
      </c>
      <c r="D37" s="10"/>
      <c r="E37" s="10"/>
      <c r="F37" s="11"/>
      <c r="H37" s="30"/>
      <c r="I37" s="30"/>
      <c r="J37" s="30"/>
      <c r="K37" s="13"/>
      <c r="R37" s="30"/>
      <c r="S37" s="30"/>
      <c r="T37" s="30"/>
      <c r="U37" s="30"/>
      <c r="V37" s="30"/>
      <c r="W37" s="30"/>
      <c r="X37" s="30"/>
      <c r="AC37" s="30"/>
      <c r="AD37" s="30"/>
      <c r="AE37" s="30"/>
      <c r="AF37" s="30"/>
      <c r="AG37" s="30"/>
      <c r="AH37" s="30"/>
      <c r="AI37" s="30"/>
      <c r="AJ37" s="30"/>
      <c r="AK37" s="30"/>
    </row>
    <row r="38" spans="1:56" s="3" customFormat="1" ht="15">
      <c r="C38" s="4" t="s">
        <v>37</v>
      </c>
      <c r="F38" s="106" t="s">
        <v>57</v>
      </c>
      <c r="H38" s="45">
        <v>0</v>
      </c>
      <c r="I38" s="45">
        <f>H38+1</f>
        <v>1</v>
      </c>
      <c r="J38" s="45">
        <f>I38+1</f>
        <v>2</v>
      </c>
      <c r="K38" s="45">
        <f>IF($H$30&gt;2,J38+1,"")</f>
        <v>3</v>
      </c>
      <c r="L38" s="45">
        <f>IF($H$30&gt;3,K38+1,"")</f>
        <v>4</v>
      </c>
      <c r="M38" s="45">
        <f>IF($H$30&gt;4,L38+1,"")</f>
        <v>5</v>
      </c>
      <c r="N38" s="45">
        <f>IF($H$30&gt;5,M38+1,"")</f>
        <v>6</v>
      </c>
      <c r="O38" s="45">
        <f>IF($H$30&gt;6,N38+1,"")</f>
        <v>7</v>
      </c>
      <c r="P38" s="45">
        <f>IF($H$30&gt;7,O38+1,"")</f>
        <v>8</v>
      </c>
      <c r="Q38" s="45" t="str">
        <f>IF($H$30&gt;8,P38+1,"")</f>
        <v/>
      </c>
      <c r="R38" s="45" t="str">
        <f>IF($H$30&gt;9,Q38+1,"")</f>
        <v/>
      </c>
      <c r="S38" s="45" t="str">
        <f>IF($H$30&gt;10,R38+1,"")</f>
        <v/>
      </c>
      <c r="T38" s="45" t="str">
        <f>IF($H$30&gt;11,S38+1,"")</f>
        <v/>
      </c>
      <c r="U38" s="45" t="str">
        <f>IF($H$30&gt;12,T38+1,"")</f>
        <v/>
      </c>
      <c r="V38" s="45" t="str">
        <f>IF($H$30&gt;13,U38+1,"")</f>
        <v/>
      </c>
      <c r="W38" s="45" t="str">
        <f>IF($H$30&gt;14,V38+1,"")</f>
        <v/>
      </c>
      <c r="X38" s="45" t="str">
        <f>IF($H$30&gt;15,W38+1,"")</f>
        <v/>
      </c>
      <c r="Y38" s="45" t="str">
        <f>IF($H$30&gt;16,X38+1,"")</f>
        <v/>
      </c>
      <c r="Z38" s="45" t="str">
        <f>IF($H$30&gt;17,Y38+1,"")</f>
        <v/>
      </c>
      <c r="AA38" s="45" t="str">
        <f>IF($H$30&gt;18,Z38+1,"")</f>
        <v/>
      </c>
      <c r="AB38" s="45" t="str">
        <f>IF($H$30&gt;19,AA38+1,"")</f>
        <v/>
      </c>
      <c r="AC38" s="45" t="str">
        <f>IF($H$30&gt;20,AB38+1,"")</f>
        <v/>
      </c>
      <c r="AD38" s="45" t="str">
        <f>IF($H$30&gt;21,AC38+1,"")</f>
        <v/>
      </c>
      <c r="AE38" s="45" t="str">
        <f>IF($H$30&gt;22,AD38+1,"")</f>
        <v/>
      </c>
      <c r="AF38" s="45" t="str">
        <f>IF($H$30&gt;23,AE38+1,"")</f>
        <v/>
      </c>
      <c r="AG38" s="45" t="str">
        <f>IF($H$30&gt;24,AF38+1,"")</f>
        <v/>
      </c>
      <c r="AH38" s="45" t="str">
        <f>IF($H$30&gt;25,AG38+1,"")</f>
        <v/>
      </c>
      <c r="AI38" s="45" t="str">
        <f>IF($H$30&gt;26,AH38+1,"")</f>
        <v/>
      </c>
      <c r="AJ38" s="45" t="str">
        <f>IF($H$30&gt;27,AI38+1,"")</f>
        <v/>
      </c>
      <c r="AK38" s="45" t="str">
        <f>IF($H$30&gt;28,AJ38+1,"")</f>
        <v/>
      </c>
      <c r="AL38" s="45" t="str">
        <f>IF($H$30&gt;29,AK38+1,"")</f>
        <v/>
      </c>
      <c r="AM38" s="45" t="str">
        <f>IF($H$30&gt;30,AL38+1,"")</f>
        <v/>
      </c>
      <c r="AN38" s="45" t="str">
        <f>IF($H$30&gt;31,AM38+1,"")</f>
        <v/>
      </c>
      <c r="AO38" s="45" t="str">
        <f>IF($H$30&gt;32,AN38+1,"")</f>
        <v/>
      </c>
      <c r="AP38" s="45" t="str">
        <f>IF($H$30&gt;33,AO38+1,"")</f>
        <v/>
      </c>
      <c r="AQ38" s="45" t="str">
        <f>IF($H$30&gt;34,AP38+1,"")</f>
        <v/>
      </c>
      <c r="AR38" s="45" t="str">
        <f>IF($H$30&gt;35,AQ38+1,"")</f>
        <v/>
      </c>
      <c r="AS38" s="45" t="str">
        <f>IF($H$30&gt;36,AR38+1,"")</f>
        <v/>
      </c>
      <c r="AT38" s="45" t="str">
        <f>IF($H$30&gt;37,AS38+1,"")</f>
        <v/>
      </c>
      <c r="AU38" s="45" t="str">
        <f>IF($H$30&gt;38,AT38+1,"")</f>
        <v/>
      </c>
      <c r="AV38" s="45" t="str">
        <f>IF($H$30&gt;39,AU38+1,"")</f>
        <v/>
      </c>
      <c r="AW38" s="45" t="str">
        <f>IF($H$30&gt;40,AV38+1,"")</f>
        <v/>
      </c>
      <c r="AX38" s="45" t="str">
        <f>IF($H$30&gt;41,AW38+1,"")</f>
        <v/>
      </c>
      <c r="AY38" s="45" t="str">
        <f>IF($H$30&gt;42,AX38+1,"")</f>
        <v/>
      </c>
      <c r="AZ38" s="45" t="str">
        <f>IF($H$30&gt;43,AY38+1,"")</f>
        <v/>
      </c>
      <c r="BA38" s="45" t="str">
        <f>IF($H$30&gt;44,AZ38+1,"")</f>
        <v/>
      </c>
      <c r="BB38" s="45" t="str">
        <f>IF($H$30&gt;45,BA38+1,"")</f>
        <v/>
      </c>
      <c r="BC38" s="45" t="str">
        <f>IF($H$30&gt;46,BB38+1,"")</f>
        <v/>
      </c>
      <c r="BD38" s="45" t="str">
        <f>IF($H$30&gt;47,BC38+1,"")</f>
        <v/>
      </c>
    </row>
    <row r="39" spans="1:56" s="3" customFormat="1" ht="12" customHeight="1">
      <c r="A39" s="3" t="s">
        <v>19</v>
      </c>
      <c r="C39" s="32">
        <v>19</v>
      </c>
      <c r="D39" s="5" t="s">
        <v>1</v>
      </c>
      <c r="F39" s="6" t="s">
        <v>75</v>
      </c>
      <c r="H39" s="15">
        <f>H7*I46</f>
        <v>700.2019076158349</v>
      </c>
      <c r="I39" s="15">
        <f>H39</f>
        <v>700.2019076158349</v>
      </c>
      <c r="J39" s="15">
        <f t="shared" ref="J39:BD39" si="0">IF(J38&lt;$H30,I39,IF(J38=$H30,0,""))</f>
        <v>700.2019076158349</v>
      </c>
      <c r="K39" s="15">
        <f t="shared" si="0"/>
        <v>700.2019076158349</v>
      </c>
      <c r="L39" s="15">
        <f t="shared" si="0"/>
        <v>700.2019076158349</v>
      </c>
      <c r="M39" s="15">
        <f t="shared" si="0"/>
        <v>700.2019076158349</v>
      </c>
      <c r="N39" s="15">
        <f t="shared" si="0"/>
        <v>700.2019076158349</v>
      </c>
      <c r="O39" s="15">
        <f t="shared" si="0"/>
        <v>700.2019076158349</v>
      </c>
      <c r="P39" s="15">
        <f t="shared" si="0"/>
        <v>0</v>
      </c>
      <c r="Q39" s="15" t="str">
        <f t="shared" si="0"/>
        <v/>
      </c>
      <c r="R39" s="15" t="str">
        <f t="shared" si="0"/>
        <v/>
      </c>
      <c r="S39" s="15" t="str">
        <f t="shared" si="0"/>
        <v/>
      </c>
      <c r="T39" s="15" t="str">
        <f t="shared" si="0"/>
        <v/>
      </c>
      <c r="U39" s="15" t="str">
        <f t="shared" si="0"/>
        <v/>
      </c>
      <c r="V39" s="15" t="str">
        <f t="shared" si="0"/>
        <v/>
      </c>
      <c r="W39" s="15" t="str">
        <f t="shared" si="0"/>
        <v/>
      </c>
      <c r="X39" s="15" t="str">
        <f t="shared" si="0"/>
        <v/>
      </c>
      <c r="Y39" s="15" t="str">
        <f t="shared" si="0"/>
        <v/>
      </c>
      <c r="Z39" s="15" t="str">
        <f t="shared" si="0"/>
        <v/>
      </c>
      <c r="AA39" s="15" t="str">
        <f t="shared" si="0"/>
        <v/>
      </c>
      <c r="AB39" s="15" t="str">
        <f t="shared" si="0"/>
        <v/>
      </c>
      <c r="AC39" s="15" t="str">
        <f t="shared" si="0"/>
        <v/>
      </c>
      <c r="AD39" s="15" t="str">
        <f t="shared" si="0"/>
        <v/>
      </c>
      <c r="AE39" s="15" t="str">
        <f t="shared" si="0"/>
        <v/>
      </c>
      <c r="AF39" s="15" t="str">
        <f t="shared" si="0"/>
        <v/>
      </c>
      <c r="AG39" s="15" t="str">
        <f t="shared" si="0"/>
        <v/>
      </c>
      <c r="AH39" s="15" t="str">
        <f t="shared" si="0"/>
        <v/>
      </c>
      <c r="AI39" s="15" t="str">
        <f t="shared" si="0"/>
        <v/>
      </c>
      <c r="AJ39" s="15" t="str">
        <f t="shared" si="0"/>
        <v/>
      </c>
      <c r="AK39" s="15" t="str">
        <f t="shared" si="0"/>
        <v/>
      </c>
      <c r="AL39" s="15" t="str">
        <f t="shared" si="0"/>
        <v/>
      </c>
      <c r="AM39" s="15" t="str">
        <f t="shared" si="0"/>
        <v/>
      </c>
      <c r="AN39" s="15" t="str">
        <f t="shared" si="0"/>
        <v/>
      </c>
      <c r="AO39" s="15" t="str">
        <f t="shared" si="0"/>
        <v/>
      </c>
      <c r="AP39" s="15" t="str">
        <f t="shared" si="0"/>
        <v/>
      </c>
      <c r="AQ39" s="15" t="str">
        <f t="shared" si="0"/>
        <v/>
      </c>
      <c r="AR39" s="15" t="str">
        <f t="shared" si="0"/>
        <v/>
      </c>
      <c r="AS39" s="15" t="str">
        <f t="shared" si="0"/>
        <v/>
      </c>
      <c r="AT39" s="15" t="str">
        <f t="shared" si="0"/>
        <v/>
      </c>
      <c r="AU39" s="15" t="str">
        <f t="shared" si="0"/>
        <v/>
      </c>
      <c r="AV39" s="15" t="str">
        <f t="shared" si="0"/>
        <v/>
      </c>
      <c r="AW39" s="15" t="str">
        <f t="shared" si="0"/>
        <v/>
      </c>
      <c r="AX39" s="15" t="str">
        <f t="shared" si="0"/>
        <v/>
      </c>
      <c r="AY39" s="15" t="str">
        <f t="shared" si="0"/>
        <v/>
      </c>
      <c r="AZ39" s="15" t="str">
        <f t="shared" si="0"/>
        <v/>
      </c>
      <c r="BA39" s="15" t="str">
        <f t="shared" si="0"/>
        <v/>
      </c>
      <c r="BB39" s="15" t="str">
        <f t="shared" si="0"/>
        <v/>
      </c>
      <c r="BC39" s="15" t="str">
        <f t="shared" si="0"/>
        <v/>
      </c>
      <c r="BD39" s="15" t="str">
        <f t="shared" si="0"/>
        <v/>
      </c>
    </row>
    <row r="40" spans="1:56" s="3" customFormat="1" ht="12" customHeight="1">
      <c r="A40" s="3" t="s">
        <v>19</v>
      </c>
      <c r="C40" s="2">
        <v>20</v>
      </c>
      <c r="D40" s="105" t="s">
        <v>45</v>
      </c>
      <c r="F40" s="6" t="s">
        <v>76</v>
      </c>
      <c r="H40" s="12">
        <v>0</v>
      </c>
      <c r="I40" s="12">
        <f>H40+I50</f>
        <v>-87.525238451979362</v>
      </c>
      <c r="J40" s="12">
        <f t="shared" ref="J40:BD40" si="1">IF(J38&lt;$H30,I40+J50,IF(J38=$H30,0,""))</f>
        <v>-175.05047690395872</v>
      </c>
      <c r="K40" s="12">
        <f t="shared" si="1"/>
        <v>-262.57571535593809</v>
      </c>
      <c r="L40" s="12">
        <f t="shared" si="1"/>
        <v>-350.10095380791745</v>
      </c>
      <c r="M40" s="12">
        <f t="shared" si="1"/>
        <v>-437.62619225989681</v>
      </c>
      <c r="N40" s="12">
        <f t="shared" si="1"/>
        <v>-525.15143071187617</v>
      </c>
      <c r="O40" s="12">
        <f t="shared" si="1"/>
        <v>-612.67666916385554</v>
      </c>
      <c r="P40" s="12">
        <f t="shared" si="1"/>
        <v>0</v>
      </c>
      <c r="Q40" s="12" t="str">
        <f t="shared" si="1"/>
        <v/>
      </c>
      <c r="R40" s="12" t="str">
        <f t="shared" si="1"/>
        <v/>
      </c>
      <c r="S40" s="12" t="str">
        <f t="shared" si="1"/>
        <v/>
      </c>
      <c r="T40" s="12" t="str">
        <f t="shared" si="1"/>
        <v/>
      </c>
      <c r="U40" s="12" t="str">
        <f t="shared" si="1"/>
        <v/>
      </c>
      <c r="V40" s="12" t="str">
        <f t="shared" si="1"/>
        <v/>
      </c>
      <c r="W40" s="12" t="str">
        <f t="shared" si="1"/>
        <v/>
      </c>
      <c r="X40" s="12" t="str">
        <f t="shared" si="1"/>
        <v/>
      </c>
      <c r="Y40" s="12" t="str">
        <f t="shared" si="1"/>
        <v/>
      </c>
      <c r="Z40" s="12" t="str">
        <f t="shared" si="1"/>
        <v/>
      </c>
      <c r="AA40" s="12" t="str">
        <f t="shared" si="1"/>
        <v/>
      </c>
      <c r="AB40" s="12" t="str">
        <f t="shared" si="1"/>
        <v/>
      </c>
      <c r="AC40" s="12" t="str">
        <f t="shared" si="1"/>
        <v/>
      </c>
      <c r="AD40" s="12" t="str">
        <f t="shared" si="1"/>
        <v/>
      </c>
      <c r="AE40" s="12" t="str">
        <f t="shared" si="1"/>
        <v/>
      </c>
      <c r="AF40" s="12" t="str">
        <f t="shared" si="1"/>
        <v/>
      </c>
      <c r="AG40" s="12" t="str">
        <f t="shared" si="1"/>
        <v/>
      </c>
      <c r="AH40" s="12" t="str">
        <f t="shared" si="1"/>
        <v/>
      </c>
      <c r="AI40" s="12" t="str">
        <f t="shared" si="1"/>
        <v/>
      </c>
      <c r="AJ40" s="12" t="str">
        <f t="shared" si="1"/>
        <v/>
      </c>
      <c r="AK40" s="12" t="str">
        <f t="shared" si="1"/>
        <v/>
      </c>
      <c r="AL40" s="12" t="str">
        <f t="shared" si="1"/>
        <v/>
      </c>
      <c r="AM40" s="12" t="str">
        <f t="shared" si="1"/>
        <v/>
      </c>
      <c r="AN40" s="12" t="str">
        <f t="shared" si="1"/>
        <v/>
      </c>
      <c r="AO40" s="12" t="str">
        <f t="shared" si="1"/>
        <v/>
      </c>
      <c r="AP40" s="12" t="str">
        <f t="shared" si="1"/>
        <v/>
      </c>
      <c r="AQ40" s="12" t="str">
        <f t="shared" si="1"/>
        <v/>
      </c>
      <c r="AR40" s="12" t="str">
        <f t="shared" si="1"/>
        <v/>
      </c>
      <c r="AS40" s="12" t="str">
        <f t="shared" si="1"/>
        <v/>
      </c>
      <c r="AT40" s="12" t="str">
        <f t="shared" si="1"/>
        <v/>
      </c>
      <c r="AU40" s="12" t="str">
        <f t="shared" si="1"/>
        <v/>
      </c>
      <c r="AV40" s="12" t="str">
        <f t="shared" si="1"/>
        <v/>
      </c>
      <c r="AW40" s="12" t="str">
        <f t="shared" si="1"/>
        <v/>
      </c>
      <c r="AX40" s="12" t="str">
        <f t="shared" si="1"/>
        <v/>
      </c>
      <c r="AY40" s="12" t="str">
        <f t="shared" si="1"/>
        <v/>
      </c>
      <c r="AZ40" s="12" t="str">
        <f t="shared" si="1"/>
        <v/>
      </c>
      <c r="BA40" s="12" t="str">
        <f t="shared" si="1"/>
        <v/>
      </c>
      <c r="BB40" s="12" t="str">
        <f t="shared" si="1"/>
        <v/>
      </c>
      <c r="BC40" s="12" t="str">
        <f t="shared" si="1"/>
        <v/>
      </c>
      <c r="BD40" s="12" t="str">
        <f t="shared" si="1"/>
        <v/>
      </c>
    </row>
    <row r="41" spans="1:56" s="3" customFormat="1" ht="12" customHeight="1">
      <c r="A41" s="3" t="s">
        <v>19</v>
      </c>
      <c r="C41" s="2">
        <v>21</v>
      </c>
      <c r="D41" s="3" t="s">
        <v>4</v>
      </c>
      <c r="F41" s="6" t="s">
        <v>77</v>
      </c>
      <c r="H41" s="13">
        <f>SUM(H39:H40)</f>
        <v>700.2019076158349</v>
      </c>
      <c r="I41" s="13">
        <f>SUM(I39:I40)</f>
        <v>612.67666916385554</v>
      </c>
      <c r="J41" s="13">
        <f t="shared" ref="J41:W41" si="2">IF(J38&lt;=$H30,SUM(J39:J40),"")</f>
        <v>525.15143071187617</v>
      </c>
      <c r="K41" s="13">
        <f t="shared" si="2"/>
        <v>437.62619225989681</v>
      </c>
      <c r="L41" s="13">
        <f t="shared" si="2"/>
        <v>350.10095380791745</v>
      </c>
      <c r="M41" s="13">
        <f t="shared" si="2"/>
        <v>262.57571535593809</v>
      </c>
      <c r="N41" s="13">
        <f t="shared" si="2"/>
        <v>175.05047690395872</v>
      </c>
      <c r="O41" s="13">
        <f t="shared" si="2"/>
        <v>87.525238451979362</v>
      </c>
      <c r="P41" s="13">
        <f t="shared" si="2"/>
        <v>0</v>
      </c>
      <c r="Q41" s="13" t="str">
        <f t="shared" si="2"/>
        <v/>
      </c>
      <c r="R41" s="13" t="str">
        <f t="shared" si="2"/>
        <v/>
      </c>
      <c r="S41" s="13" t="str">
        <f t="shared" si="2"/>
        <v/>
      </c>
      <c r="T41" s="13" t="str">
        <f t="shared" si="2"/>
        <v/>
      </c>
      <c r="U41" s="13" t="str">
        <f t="shared" si="2"/>
        <v/>
      </c>
      <c r="V41" s="13" t="str">
        <f t="shared" si="2"/>
        <v/>
      </c>
      <c r="W41" s="13" t="str">
        <f t="shared" si="2"/>
        <v/>
      </c>
      <c r="X41" s="13" t="str">
        <f t="shared" ref="X41:AL41" si="3">IF(X38&lt;=$H30,SUM(X39:X40),"")</f>
        <v/>
      </c>
      <c r="Y41" s="13" t="str">
        <f t="shared" si="3"/>
        <v/>
      </c>
      <c r="Z41" s="13" t="str">
        <f t="shared" si="3"/>
        <v/>
      </c>
      <c r="AA41" s="13" t="str">
        <f t="shared" si="3"/>
        <v/>
      </c>
      <c r="AB41" s="13" t="str">
        <f t="shared" si="3"/>
        <v/>
      </c>
      <c r="AC41" s="13" t="str">
        <f t="shared" si="3"/>
        <v/>
      </c>
      <c r="AD41" s="13" t="str">
        <f t="shared" si="3"/>
        <v/>
      </c>
      <c r="AE41" s="13" t="str">
        <f t="shared" si="3"/>
        <v/>
      </c>
      <c r="AF41" s="13" t="str">
        <f t="shared" si="3"/>
        <v/>
      </c>
      <c r="AG41" s="13" t="str">
        <f t="shared" si="3"/>
        <v/>
      </c>
      <c r="AH41" s="13" t="str">
        <f t="shared" si="3"/>
        <v/>
      </c>
      <c r="AI41" s="13" t="str">
        <f t="shared" si="3"/>
        <v/>
      </c>
      <c r="AJ41" s="13" t="str">
        <f t="shared" si="3"/>
        <v/>
      </c>
      <c r="AK41" s="13" t="str">
        <f t="shared" si="3"/>
        <v/>
      </c>
      <c r="AL41" s="13" t="str">
        <f t="shared" si="3"/>
        <v/>
      </c>
      <c r="AM41" s="13" t="str">
        <f t="shared" ref="AM41:AY41" si="4">IF(AM38&lt;=$H30,SUM(AM39:AM40),"")</f>
        <v/>
      </c>
      <c r="AN41" s="13" t="str">
        <f t="shared" si="4"/>
        <v/>
      </c>
      <c r="AO41" s="13" t="str">
        <f t="shared" si="4"/>
        <v/>
      </c>
      <c r="AP41" s="13" t="str">
        <f t="shared" si="4"/>
        <v/>
      </c>
      <c r="AQ41" s="13" t="str">
        <f t="shared" si="4"/>
        <v/>
      </c>
      <c r="AR41" s="13" t="str">
        <f t="shared" si="4"/>
        <v/>
      </c>
      <c r="AS41" s="13" t="str">
        <f t="shared" si="4"/>
        <v/>
      </c>
      <c r="AT41" s="13" t="str">
        <f t="shared" si="4"/>
        <v/>
      </c>
      <c r="AU41" s="13" t="str">
        <f t="shared" si="4"/>
        <v/>
      </c>
      <c r="AV41" s="13" t="str">
        <f t="shared" si="4"/>
        <v/>
      </c>
      <c r="AW41" s="13" t="str">
        <f t="shared" si="4"/>
        <v/>
      </c>
      <c r="AX41" s="13" t="str">
        <f t="shared" si="4"/>
        <v/>
      </c>
      <c r="AY41" s="13" t="str">
        <f t="shared" si="4"/>
        <v/>
      </c>
      <c r="AZ41" s="13" t="str">
        <f>IF(AZ38&lt;=$H30,SUM(AZ39:AZ40),"")</f>
        <v/>
      </c>
      <c r="BA41" s="13" t="str">
        <f>IF(BA38&lt;=$H30,SUM(BA39:BA40),"")</f>
        <v/>
      </c>
      <c r="BB41" s="13" t="str">
        <f>IF(BB38&lt;=$H30,SUM(BB39:BB40),"")</f>
        <v/>
      </c>
      <c r="BC41" s="13" t="str">
        <f>IF(BC38&lt;=$H30,SUM(BC39:BC40),"")</f>
        <v/>
      </c>
      <c r="BD41" s="13" t="str">
        <f>IF(BD38&lt;=$H30,SUM(BD39:BD40),"")</f>
        <v/>
      </c>
    </row>
    <row r="42" spans="1:56" s="3" customFormat="1" ht="12" customHeight="1">
      <c r="A42" s="3" t="s">
        <v>19</v>
      </c>
      <c r="C42" s="2">
        <v>22</v>
      </c>
      <c r="D42" s="3" t="s">
        <v>15</v>
      </c>
      <c r="F42" s="6" t="s">
        <v>78</v>
      </c>
      <c r="H42" s="12">
        <f>H44-H41</f>
        <v>0</v>
      </c>
      <c r="I42" s="12">
        <f>I44-I41</f>
        <v>21.695923741539445</v>
      </c>
      <c r="J42" s="12">
        <f>IF(J38=$H30,ABS(J44-J41),J44-J41)</f>
        <v>38.125502306243675</v>
      </c>
      <c r="K42" s="12">
        <f t="shared" ref="K42:BD42" si="5">IF(K38&lt;=$H30,IF(K38=$H30,ABS(K44-K41),K44-K41),"")</f>
        <v>48.867428079965975</v>
      </c>
      <c r="L42" s="12">
        <f t="shared" si="5"/>
        <v>53.466688839427661</v>
      </c>
      <c r="M42" s="12">
        <f t="shared" si="5"/>
        <v>51.43187138348793</v>
      </c>
      <c r="N42" s="12">
        <f t="shared" si="5"/>
        <v>42.232249454914665</v>
      </c>
      <c r="O42" s="12">
        <f t="shared" si="5"/>
        <v>25.294638695897206</v>
      </c>
      <c r="P42" s="12">
        <f t="shared" si="5"/>
        <v>1.4210854715202004E-14</v>
      </c>
      <c r="Q42" s="12" t="str">
        <f t="shared" si="5"/>
        <v/>
      </c>
      <c r="R42" s="12" t="str">
        <f t="shared" si="5"/>
        <v/>
      </c>
      <c r="S42" s="12" t="str">
        <f t="shared" si="5"/>
        <v/>
      </c>
      <c r="T42" s="12" t="str">
        <f t="shared" si="5"/>
        <v/>
      </c>
      <c r="U42" s="12" t="str">
        <f t="shared" si="5"/>
        <v/>
      </c>
      <c r="V42" s="12" t="str">
        <f t="shared" si="5"/>
        <v/>
      </c>
      <c r="W42" s="12" t="str">
        <f t="shared" si="5"/>
        <v/>
      </c>
      <c r="X42" s="12" t="str">
        <f t="shared" si="5"/>
        <v/>
      </c>
      <c r="Y42" s="12" t="str">
        <f t="shared" si="5"/>
        <v/>
      </c>
      <c r="Z42" s="12" t="str">
        <f t="shared" si="5"/>
        <v/>
      </c>
      <c r="AA42" s="12" t="str">
        <f t="shared" si="5"/>
        <v/>
      </c>
      <c r="AB42" s="12" t="str">
        <f t="shared" si="5"/>
        <v/>
      </c>
      <c r="AC42" s="12" t="str">
        <f t="shared" si="5"/>
        <v/>
      </c>
      <c r="AD42" s="12" t="str">
        <f t="shared" si="5"/>
        <v/>
      </c>
      <c r="AE42" s="12" t="str">
        <f t="shared" si="5"/>
        <v/>
      </c>
      <c r="AF42" s="12" t="str">
        <f t="shared" si="5"/>
        <v/>
      </c>
      <c r="AG42" s="12" t="str">
        <f t="shared" si="5"/>
        <v/>
      </c>
      <c r="AH42" s="12" t="str">
        <f t="shared" si="5"/>
        <v/>
      </c>
      <c r="AI42" s="12" t="str">
        <f t="shared" si="5"/>
        <v/>
      </c>
      <c r="AJ42" s="12" t="str">
        <f t="shared" si="5"/>
        <v/>
      </c>
      <c r="AK42" s="12" t="str">
        <f t="shared" si="5"/>
        <v/>
      </c>
      <c r="AL42" s="12" t="str">
        <f t="shared" si="5"/>
        <v/>
      </c>
      <c r="AM42" s="12" t="str">
        <f t="shared" si="5"/>
        <v/>
      </c>
      <c r="AN42" s="12" t="str">
        <f t="shared" si="5"/>
        <v/>
      </c>
      <c r="AO42" s="12" t="str">
        <f t="shared" si="5"/>
        <v/>
      </c>
      <c r="AP42" s="12" t="str">
        <f t="shared" si="5"/>
        <v/>
      </c>
      <c r="AQ42" s="12" t="str">
        <f t="shared" si="5"/>
        <v/>
      </c>
      <c r="AR42" s="12" t="str">
        <f t="shared" si="5"/>
        <v/>
      </c>
      <c r="AS42" s="12" t="str">
        <f t="shared" si="5"/>
        <v/>
      </c>
      <c r="AT42" s="12" t="str">
        <f t="shared" si="5"/>
        <v/>
      </c>
      <c r="AU42" s="12" t="str">
        <f t="shared" si="5"/>
        <v/>
      </c>
      <c r="AV42" s="12" t="str">
        <f t="shared" si="5"/>
        <v/>
      </c>
      <c r="AW42" s="12" t="str">
        <f t="shared" si="5"/>
        <v/>
      </c>
      <c r="AX42" s="12" t="str">
        <f t="shared" si="5"/>
        <v/>
      </c>
      <c r="AY42" s="12" t="str">
        <f t="shared" si="5"/>
        <v/>
      </c>
      <c r="AZ42" s="12" t="str">
        <f t="shared" si="5"/>
        <v/>
      </c>
      <c r="BA42" s="12" t="str">
        <f t="shared" si="5"/>
        <v/>
      </c>
      <c r="BB42" s="12" t="str">
        <f t="shared" si="5"/>
        <v/>
      </c>
      <c r="BC42" s="12" t="str">
        <f t="shared" si="5"/>
        <v/>
      </c>
      <c r="BD42" s="12" t="str">
        <f t="shared" si="5"/>
        <v/>
      </c>
    </row>
    <row r="43" spans="1:56" s="3" customFormat="1" ht="12.75" customHeight="1" thickBot="1">
      <c r="C43" s="2">
        <v>23</v>
      </c>
      <c r="D43" s="3" t="s">
        <v>5</v>
      </c>
      <c r="F43" s="6" t="s">
        <v>79</v>
      </c>
      <c r="H43" s="16">
        <f>SUM(H41:H42)</f>
        <v>700.2019076158349</v>
      </c>
      <c r="I43" s="16">
        <f>SUM(I41:I42)</f>
        <v>634.37259290539498</v>
      </c>
      <c r="J43" s="16">
        <f>SUM(J41:J42)</f>
        <v>563.27693301811985</v>
      </c>
      <c r="K43" s="16">
        <f t="shared" ref="K43:BD43" si="6">IF(K38&lt;=$H30,SUM(K41:K42),"")</f>
        <v>486.49362033986279</v>
      </c>
      <c r="L43" s="16">
        <f t="shared" si="6"/>
        <v>403.56764264734511</v>
      </c>
      <c r="M43" s="16">
        <f t="shared" si="6"/>
        <v>314.00758673942602</v>
      </c>
      <c r="N43" s="16">
        <f t="shared" si="6"/>
        <v>217.28272635887339</v>
      </c>
      <c r="O43" s="16">
        <f t="shared" si="6"/>
        <v>112.81987714787657</v>
      </c>
      <c r="P43" s="16">
        <f t="shared" si="6"/>
        <v>1.4210854715202004E-14</v>
      </c>
      <c r="Q43" s="16" t="str">
        <f t="shared" si="6"/>
        <v/>
      </c>
      <c r="R43" s="16" t="str">
        <f t="shared" si="6"/>
        <v/>
      </c>
      <c r="S43" s="16" t="str">
        <f t="shared" si="6"/>
        <v/>
      </c>
      <c r="T43" s="16" t="str">
        <f t="shared" si="6"/>
        <v/>
      </c>
      <c r="U43" s="16" t="str">
        <f t="shared" si="6"/>
        <v/>
      </c>
      <c r="V43" s="16" t="str">
        <f t="shared" si="6"/>
        <v/>
      </c>
      <c r="W43" s="16" t="str">
        <f t="shared" si="6"/>
        <v/>
      </c>
      <c r="X43" s="16" t="str">
        <f t="shared" si="6"/>
        <v/>
      </c>
      <c r="Y43" s="16" t="str">
        <f t="shared" si="6"/>
        <v/>
      </c>
      <c r="Z43" s="16" t="str">
        <f t="shared" si="6"/>
        <v/>
      </c>
      <c r="AA43" s="16" t="str">
        <f t="shared" si="6"/>
        <v/>
      </c>
      <c r="AB43" s="16" t="str">
        <f t="shared" si="6"/>
        <v/>
      </c>
      <c r="AC43" s="16" t="str">
        <f t="shared" si="6"/>
        <v/>
      </c>
      <c r="AD43" s="16" t="str">
        <f t="shared" si="6"/>
        <v/>
      </c>
      <c r="AE43" s="16" t="str">
        <f t="shared" si="6"/>
        <v/>
      </c>
      <c r="AF43" s="16" t="str">
        <f t="shared" si="6"/>
        <v/>
      </c>
      <c r="AG43" s="16" t="str">
        <f t="shared" si="6"/>
        <v/>
      </c>
      <c r="AH43" s="16" t="str">
        <f t="shared" si="6"/>
        <v/>
      </c>
      <c r="AI43" s="16" t="str">
        <f t="shared" si="6"/>
        <v/>
      </c>
      <c r="AJ43" s="16" t="str">
        <f t="shared" si="6"/>
        <v/>
      </c>
      <c r="AK43" s="16" t="str">
        <f t="shared" si="6"/>
        <v/>
      </c>
      <c r="AL43" s="16" t="str">
        <f t="shared" si="6"/>
        <v/>
      </c>
      <c r="AM43" s="16" t="str">
        <f t="shared" si="6"/>
        <v/>
      </c>
      <c r="AN43" s="16" t="str">
        <f t="shared" si="6"/>
        <v/>
      </c>
      <c r="AO43" s="16" t="str">
        <f t="shared" si="6"/>
        <v/>
      </c>
      <c r="AP43" s="16" t="str">
        <f t="shared" si="6"/>
        <v/>
      </c>
      <c r="AQ43" s="16" t="str">
        <f t="shared" si="6"/>
        <v/>
      </c>
      <c r="AR43" s="16" t="str">
        <f t="shared" si="6"/>
        <v/>
      </c>
      <c r="AS43" s="16" t="str">
        <f t="shared" si="6"/>
        <v/>
      </c>
      <c r="AT43" s="16" t="str">
        <f t="shared" si="6"/>
        <v/>
      </c>
      <c r="AU43" s="16" t="str">
        <f t="shared" si="6"/>
        <v/>
      </c>
      <c r="AV43" s="16" t="str">
        <f t="shared" si="6"/>
        <v/>
      </c>
      <c r="AW43" s="16" t="str">
        <f t="shared" si="6"/>
        <v/>
      </c>
      <c r="AX43" s="16" t="str">
        <f t="shared" si="6"/>
        <v/>
      </c>
      <c r="AY43" s="16" t="str">
        <f t="shared" si="6"/>
        <v/>
      </c>
      <c r="AZ43" s="16" t="str">
        <f t="shared" si="6"/>
        <v/>
      </c>
      <c r="BA43" s="16" t="str">
        <f t="shared" si="6"/>
        <v/>
      </c>
      <c r="BB43" s="16" t="str">
        <f t="shared" si="6"/>
        <v/>
      </c>
      <c r="BC43" s="16" t="str">
        <f t="shared" si="6"/>
        <v/>
      </c>
      <c r="BD43" s="16" t="str">
        <f t="shared" si="6"/>
        <v/>
      </c>
    </row>
    <row r="44" spans="1:56" s="3" customFormat="1" ht="12.75" customHeight="1" thickTop="1" thickBot="1">
      <c r="A44" s="3" t="s">
        <v>19</v>
      </c>
      <c r="C44" s="2">
        <v>24</v>
      </c>
      <c r="D44" s="105" t="s">
        <v>56</v>
      </c>
      <c r="F44" s="6" t="s">
        <v>80</v>
      </c>
      <c r="G44" s="6"/>
      <c r="H44" s="16">
        <f>H39</f>
        <v>700.2019076158349</v>
      </c>
      <c r="I44" s="16">
        <f>H44+H44*$H14-PMT($H14,$H30,-H39)</f>
        <v>634.37259290539498</v>
      </c>
      <c r="J44" s="16">
        <f>ABS(I44+I44*$H14-PMT($H14,$H30,-$H39))</f>
        <v>563.27693301811985</v>
      </c>
      <c r="K44" s="16">
        <f t="shared" ref="K44:BD44" si="7">IF(K38&lt;=$H30,ABS(J44+J44*$H14-PMT($H14,$H30,-$H39)),"")</f>
        <v>486.49362033986279</v>
      </c>
      <c r="L44" s="16">
        <f t="shared" si="7"/>
        <v>403.56764264734511</v>
      </c>
      <c r="M44" s="16">
        <f t="shared" si="7"/>
        <v>314.00758673942602</v>
      </c>
      <c r="N44" s="16">
        <f t="shared" si="7"/>
        <v>217.28272635887339</v>
      </c>
      <c r="O44" s="16">
        <f t="shared" si="7"/>
        <v>112.81987714787657</v>
      </c>
      <c r="P44" s="16">
        <f t="shared" si="7"/>
        <v>1.4210854715202004E-14</v>
      </c>
      <c r="Q44" s="16" t="str">
        <f t="shared" si="7"/>
        <v/>
      </c>
      <c r="R44" s="16" t="str">
        <f t="shared" si="7"/>
        <v/>
      </c>
      <c r="S44" s="16" t="str">
        <f t="shared" si="7"/>
        <v/>
      </c>
      <c r="T44" s="16" t="str">
        <f t="shared" si="7"/>
        <v/>
      </c>
      <c r="U44" s="16" t="str">
        <f t="shared" si="7"/>
        <v/>
      </c>
      <c r="V44" s="16" t="str">
        <f t="shared" si="7"/>
        <v/>
      </c>
      <c r="W44" s="16" t="str">
        <f t="shared" si="7"/>
        <v/>
      </c>
      <c r="X44" s="16" t="str">
        <f t="shared" si="7"/>
        <v/>
      </c>
      <c r="Y44" s="16" t="str">
        <f t="shared" si="7"/>
        <v/>
      </c>
      <c r="Z44" s="16" t="str">
        <f t="shared" si="7"/>
        <v/>
      </c>
      <c r="AA44" s="16" t="str">
        <f t="shared" si="7"/>
        <v/>
      </c>
      <c r="AB44" s="16" t="str">
        <f t="shared" si="7"/>
        <v/>
      </c>
      <c r="AC44" s="16" t="str">
        <f t="shared" si="7"/>
        <v/>
      </c>
      <c r="AD44" s="16" t="str">
        <f t="shared" si="7"/>
        <v/>
      </c>
      <c r="AE44" s="16" t="str">
        <f t="shared" si="7"/>
        <v/>
      </c>
      <c r="AF44" s="16" t="str">
        <f t="shared" si="7"/>
        <v/>
      </c>
      <c r="AG44" s="16" t="str">
        <f t="shared" si="7"/>
        <v/>
      </c>
      <c r="AH44" s="16" t="str">
        <f t="shared" si="7"/>
        <v/>
      </c>
      <c r="AI44" s="16" t="str">
        <f t="shared" si="7"/>
        <v/>
      </c>
      <c r="AJ44" s="16" t="str">
        <f t="shared" si="7"/>
        <v/>
      </c>
      <c r="AK44" s="16" t="str">
        <f t="shared" si="7"/>
        <v/>
      </c>
      <c r="AL44" s="16" t="str">
        <f t="shared" si="7"/>
        <v/>
      </c>
      <c r="AM44" s="16" t="str">
        <f t="shared" si="7"/>
        <v/>
      </c>
      <c r="AN44" s="16" t="str">
        <f t="shared" si="7"/>
        <v/>
      </c>
      <c r="AO44" s="16" t="str">
        <f t="shared" si="7"/>
        <v/>
      </c>
      <c r="AP44" s="16" t="str">
        <f t="shared" si="7"/>
        <v/>
      </c>
      <c r="AQ44" s="16" t="str">
        <f t="shared" si="7"/>
        <v/>
      </c>
      <c r="AR44" s="16" t="str">
        <f t="shared" si="7"/>
        <v/>
      </c>
      <c r="AS44" s="16" t="str">
        <f t="shared" si="7"/>
        <v/>
      </c>
      <c r="AT44" s="16" t="str">
        <f t="shared" si="7"/>
        <v/>
      </c>
      <c r="AU44" s="16" t="str">
        <f t="shared" si="7"/>
        <v/>
      </c>
      <c r="AV44" s="16" t="str">
        <f t="shared" si="7"/>
        <v/>
      </c>
      <c r="AW44" s="16" t="str">
        <f t="shared" si="7"/>
        <v/>
      </c>
      <c r="AX44" s="16" t="str">
        <f t="shared" si="7"/>
        <v/>
      </c>
      <c r="AY44" s="16" t="str">
        <f t="shared" si="7"/>
        <v/>
      </c>
      <c r="AZ44" s="16" t="str">
        <f t="shared" si="7"/>
        <v/>
      </c>
      <c r="BA44" s="16" t="str">
        <f t="shared" si="7"/>
        <v/>
      </c>
      <c r="BB44" s="16" t="str">
        <f t="shared" si="7"/>
        <v/>
      </c>
      <c r="BC44" s="16" t="str">
        <f t="shared" si="7"/>
        <v/>
      </c>
      <c r="BD44" s="16" t="str">
        <f t="shared" si="7"/>
        <v/>
      </c>
    </row>
    <row r="45" spans="1:56" s="3" customFormat="1" ht="13.5" customHeight="1" thickTop="1">
      <c r="C45" s="4" t="s">
        <v>38</v>
      </c>
      <c r="E45" s="7"/>
      <c r="F45" s="6"/>
      <c r="H45" s="88"/>
      <c r="I45" s="13"/>
      <c r="J45" s="13"/>
      <c r="K45" s="13"/>
      <c r="L45" s="13"/>
      <c r="M45" s="13"/>
      <c r="N45" s="13"/>
      <c r="O45" s="13"/>
    </row>
    <row r="46" spans="1:56" s="3" customFormat="1" ht="12" customHeight="1" thickBot="1">
      <c r="A46" s="3" t="s">
        <v>19</v>
      </c>
      <c r="B46" s="3" t="s">
        <v>19</v>
      </c>
      <c r="C46" s="2">
        <v>25</v>
      </c>
      <c r="D46" s="135" t="s">
        <v>114</v>
      </c>
      <c r="F46" s="6" t="s">
        <v>81</v>
      </c>
      <c r="G46" s="6"/>
      <c r="H46" s="89"/>
      <c r="I46" s="16">
        <f>PV(H9,H30,-H33)/(1-(1+H16)^H30/(1+H9)^H30)*(H9-H16)</f>
        <v>100.02884394511928</v>
      </c>
      <c r="J46" s="16">
        <f>I46*(1+$H16)</f>
        <v>107.03086302127764</v>
      </c>
      <c r="K46" s="16">
        <f t="shared" ref="K46:BD46" si="8">IF(K38&lt;=$H30,J46*(1+$H16),"")</f>
        <v>114.52302343276708</v>
      </c>
      <c r="L46" s="16">
        <f t="shared" si="8"/>
        <v>122.53963507306078</v>
      </c>
      <c r="M46" s="16">
        <f t="shared" si="8"/>
        <v>131.11740952817505</v>
      </c>
      <c r="N46" s="16">
        <f t="shared" si="8"/>
        <v>140.29562819514732</v>
      </c>
      <c r="O46" s="16">
        <f t="shared" si="8"/>
        <v>150.11632216880764</v>
      </c>
      <c r="P46" s="16">
        <f t="shared" si="8"/>
        <v>160.62446472062419</v>
      </c>
      <c r="Q46" s="16" t="str">
        <f t="shared" si="8"/>
        <v/>
      </c>
      <c r="R46" s="16" t="str">
        <f t="shared" si="8"/>
        <v/>
      </c>
      <c r="S46" s="16" t="str">
        <f t="shared" si="8"/>
        <v/>
      </c>
      <c r="T46" s="16" t="str">
        <f t="shared" si="8"/>
        <v/>
      </c>
      <c r="U46" s="16" t="str">
        <f t="shared" si="8"/>
        <v/>
      </c>
      <c r="V46" s="16" t="str">
        <f t="shared" si="8"/>
        <v/>
      </c>
      <c r="W46" s="16" t="str">
        <f t="shared" si="8"/>
        <v/>
      </c>
      <c r="X46" s="16" t="str">
        <f t="shared" si="8"/>
        <v/>
      </c>
      <c r="Y46" s="16" t="str">
        <f t="shared" si="8"/>
        <v/>
      </c>
      <c r="Z46" s="16" t="str">
        <f t="shared" si="8"/>
        <v/>
      </c>
      <c r="AA46" s="16" t="str">
        <f t="shared" si="8"/>
        <v/>
      </c>
      <c r="AB46" s="16" t="str">
        <f t="shared" si="8"/>
        <v/>
      </c>
      <c r="AC46" s="16" t="str">
        <f t="shared" si="8"/>
        <v/>
      </c>
      <c r="AD46" s="16" t="str">
        <f t="shared" si="8"/>
        <v/>
      </c>
      <c r="AE46" s="16" t="str">
        <f t="shared" si="8"/>
        <v/>
      </c>
      <c r="AF46" s="16" t="str">
        <f t="shared" si="8"/>
        <v/>
      </c>
      <c r="AG46" s="16" t="str">
        <f t="shared" si="8"/>
        <v/>
      </c>
      <c r="AH46" s="16" t="str">
        <f t="shared" si="8"/>
        <v/>
      </c>
      <c r="AI46" s="16" t="str">
        <f t="shared" si="8"/>
        <v/>
      </c>
      <c r="AJ46" s="16" t="str">
        <f t="shared" si="8"/>
        <v/>
      </c>
      <c r="AK46" s="16" t="str">
        <f t="shared" si="8"/>
        <v/>
      </c>
      <c r="AL46" s="16" t="str">
        <f t="shared" si="8"/>
        <v/>
      </c>
      <c r="AM46" s="16" t="str">
        <f t="shared" si="8"/>
        <v/>
      </c>
      <c r="AN46" s="16" t="str">
        <f t="shared" si="8"/>
        <v/>
      </c>
      <c r="AO46" s="16" t="str">
        <f t="shared" si="8"/>
        <v/>
      </c>
      <c r="AP46" s="16" t="str">
        <f t="shared" si="8"/>
        <v/>
      </c>
      <c r="AQ46" s="16" t="str">
        <f t="shared" si="8"/>
        <v/>
      </c>
      <c r="AR46" s="16" t="str">
        <f t="shared" si="8"/>
        <v/>
      </c>
      <c r="AS46" s="16" t="str">
        <f t="shared" si="8"/>
        <v/>
      </c>
      <c r="AT46" s="16" t="str">
        <f t="shared" si="8"/>
        <v/>
      </c>
      <c r="AU46" s="16" t="str">
        <f t="shared" si="8"/>
        <v/>
      </c>
      <c r="AV46" s="16" t="str">
        <f t="shared" si="8"/>
        <v/>
      </c>
      <c r="AW46" s="16" t="str">
        <f t="shared" si="8"/>
        <v/>
      </c>
      <c r="AX46" s="16" t="str">
        <f t="shared" si="8"/>
        <v/>
      </c>
      <c r="AY46" s="16" t="str">
        <f t="shared" si="8"/>
        <v/>
      </c>
      <c r="AZ46" s="16" t="str">
        <f t="shared" si="8"/>
        <v/>
      </c>
      <c r="BA46" s="16" t="str">
        <f t="shared" si="8"/>
        <v/>
      </c>
      <c r="BB46" s="16" t="str">
        <f t="shared" si="8"/>
        <v/>
      </c>
      <c r="BC46" s="16" t="str">
        <f t="shared" si="8"/>
        <v/>
      </c>
      <c r="BD46" s="16" t="str">
        <f t="shared" si="8"/>
        <v/>
      </c>
    </row>
    <row r="47" spans="1:56" s="118" customFormat="1" ht="14.25" customHeight="1" thickTop="1">
      <c r="B47" s="129" t="str">
        <f>"Note 2: the present values of Lines ["&amp;C46&amp;"] non-GAAP and ["&amp;C49&amp;"] GAAP are equal."</f>
        <v>Note 2: the present values of Lines [25] non-GAAP and [26] GAAP are equal.</v>
      </c>
      <c r="H47" s="119"/>
      <c r="I47" s="120"/>
      <c r="J47" s="120"/>
      <c r="K47" s="121"/>
      <c r="L47" s="121"/>
      <c r="M47" s="121"/>
      <c r="N47" s="121"/>
      <c r="O47" s="121"/>
      <c r="P47" s="121"/>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row>
    <row r="48" spans="1:56" s="114" customFormat="1" ht="13.5" customHeight="1">
      <c r="B48" s="115" t="s">
        <v>82</v>
      </c>
      <c r="H48" s="116"/>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row>
    <row r="49" spans="1:56" s="3" customFormat="1" ht="15">
      <c r="A49" s="3" t="s">
        <v>19</v>
      </c>
      <c r="C49" s="2">
        <v>26</v>
      </c>
      <c r="D49" s="135" t="s">
        <v>115</v>
      </c>
      <c r="F49" s="75" t="s">
        <v>13</v>
      </c>
      <c r="H49" s="88"/>
      <c r="I49" s="76">
        <v>-40</v>
      </c>
      <c r="J49" s="76">
        <v>80</v>
      </c>
      <c r="K49" s="76">
        <v>120</v>
      </c>
      <c r="L49" s="76">
        <v>160</v>
      </c>
      <c r="M49" s="76">
        <v>180</v>
      </c>
      <c r="N49" s="76">
        <v>200</v>
      </c>
      <c r="O49" s="76">
        <v>240</v>
      </c>
      <c r="P49" s="76">
        <v>282</v>
      </c>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row>
    <row r="50" spans="1:56" s="3" customFormat="1" ht="12" customHeight="1">
      <c r="A50" s="3" t="s">
        <v>19</v>
      </c>
      <c r="C50" s="2">
        <v>27</v>
      </c>
      <c r="D50" s="3" t="s">
        <v>0</v>
      </c>
      <c r="F50" s="6" t="s">
        <v>83</v>
      </c>
      <c r="H50" s="88"/>
      <c r="I50" s="13">
        <f>-H39 /H30</f>
        <v>-87.525238451979362</v>
      </c>
      <c r="J50" s="13">
        <f>I50</f>
        <v>-87.525238451979362</v>
      </c>
      <c r="K50" s="13">
        <f t="shared" ref="K50:BD50" si="9">IF(K38&lt;=$H30,J50,"")</f>
        <v>-87.525238451979362</v>
      </c>
      <c r="L50" s="13">
        <f t="shared" si="9"/>
        <v>-87.525238451979362</v>
      </c>
      <c r="M50" s="13">
        <f t="shared" si="9"/>
        <v>-87.525238451979362</v>
      </c>
      <c r="N50" s="13">
        <f t="shared" si="9"/>
        <v>-87.525238451979362</v>
      </c>
      <c r="O50" s="13">
        <f t="shared" si="9"/>
        <v>-87.525238451979362</v>
      </c>
      <c r="P50" s="13">
        <f t="shared" si="9"/>
        <v>-87.525238451979362</v>
      </c>
      <c r="Q50" s="13" t="str">
        <f t="shared" si="9"/>
        <v/>
      </c>
      <c r="R50" s="13" t="str">
        <f t="shared" si="9"/>
        <v/>
      </c>
      <c r="S50" s="13" t="str">
        <f t="shared" si="9"/>
        <v/>
      </c>
      <c r="T50" s="13" t="str">
        <f t="shared" si="9"/>
        <v/>
      </c>
      <c r="U50" s="13" t="str">
        <f t="shared" si="9"/>
        <v/>
      </c>
      <c r="V50" s="13" t="str">
        <f t="shared" si="9"/>
        <v/>
      </c>
      <c r="W50" s="13" t="str">
        <f t="shared" si="9"/>
        <v/>
      </c>
      <c r="X50" s="13" t="str">
        <f t="shared" si="9"/>
        <v/>
      </c>
      <c r="Y50" s="13" t="str">
        <f t="shared" si="9"/>
        <v/>
      </c>
      <c r="Z50" s="13" t="str">
        <f t="shared" si="9"/>
        <v/>
      </c>
      <c r="AA50" s="13" t="str">
        <f t="shared" si="9"/>
        <v/>
      </c>
      <c r="AB50" s="13" t="str">
        <f t="shared" si="9"/>
        <v/>
      </c>
      <c r="AC50" s="13" t="str">
        <f t="shared" si="9"/>
        <v/>
      </c>
      <c r="AD50" s="13" t="str">
        <f t="shared" si="9"/>
        <v/>
      </c>
      <c r="AE50" s="13" t="str">
        <f t="shared" si="9"/>
        <v/>
      </c>
      <c r="AF50" s="13" t="str">
        <f t="shared" si="9"/>
        <v/>
      </c>
      <c r="AG50" s="13" t="str">
        <f t="shared" si="9"/>
        <v/>
      </c>
      <c r="AH50" s="13" t="str">
        <f t="shared" si="9"/>
        <v/>
      </c>
      <c r="AI50" s="13" t="str">
        <f t="shared" si="9"/>
        <v/>
      </c>
      <c r="AJ50" s="13" t="str">
        <f t="shared" si="9"/>
        <v/>
      </c>
      <c r="AK50" s="13" t="str">
        <f t="shared" si="9"/>
        <v/>
      </c>
      <c r="AL50" s="13" t="str">
        <f t="shared" si="9"/>
        <v/>
      </c>
      <c r="AM50" s="13" t="str">
        <f t="shared" si="9"/>
        <v/>
      </c>
      <c r="AN50" s="13" t="str">
        <f t="shared" si="9"/>
        <v/>
      </c>
      <c r="AO50" s="13" t="str">
        <f t="shared" si="9"/>
        <v/>
      </c>
      <c r="AP50" s="13" t="str">
        <f t="shared" si="9"/>
        <v/>
      </c>
      <c r="AQ50" s="13" t="str">
        <f t="shared" si="9"/>
        <v/>
      </c>
      <c r="AR50" s="13" t="str">
        <f t="shared" si="9"/>
        <v/>
      </c>
      <c r="AS50" s="13" t="str">
        <f t="shared" si="9"/>
        <v/>
      </c>
      <c r="AT50" s="13" t="str">
        <f t="shared" si="9"/>
        <v/>
      </c>
      <c r="AU50" s="13" t="str">
        <f t="shared" si="9"/>
        <v/>
      </c>
      <c r="AV50" s="13" t="str">
        <f t="shared" si="9"/>
        <v/>
      </c>
      <c r="AW50" s="13" t="str">
        <f t="shared" si="9"/>
        <v/>
      </c>
      <c r="AX50" s="13" t="str">
        <f t="shared" si="9"/>
        <v/>
      </c>
      <c r="AY50" s="13" t="str">
        <f t="shared" si="9"/>
        <v/>
      </c>
      <c r="AZ50" s="13" t="str">
        <f t="shared" si="9"/>
        <v/>
      </c>
      <c r="BA50" s="13" t="str">
        <f t="shared" si="9"/>
        <v/>
      </c>
      <c r="BB50" s="13" t="str">
        <f t="shared" si="9"/>
        <v/>
      </c>
      <c r="BC50" s="13" t="str">
        <f t="shared" si="9"/>
        <v/>
      </c>
      <c r="BD50" s="13" t="str">
        <f t="shared" si="9"/>
        <v/>
      </c>
    </row>
    <row r="51" spans="1:56" s="3" customFormat="1" ht="12" customHeight="1">
      <c r="C51" s="2">
        <v>28</v>
      </c>
      <c r="D51" s="3" t="s">
        <v>2</v>
      </c>
      <c r="F51" s="8" t="s">
        <v>84</v>
      </c>
      <c r="H51" s="88"/>
      <c r="I51" s="13">
        <f>-H44*$H10*$H11</f>
        <v>-28.008076304633398</v>
      </c>
      <c r="J51" s="13">
        <f>-I44*$H10*$H11</f>
        <v>-25.374903716215801</v>
      </c>
      <c r="K51" s="13">
        <f t="shared" ref="K51:BD51" si="10">IF(K38&lt;=$H30,-J44*$H10*$H11,"")</f>
        <v>-22.531077320724798</v>
      </c>
      <c r="L51" s="13">
        <f t="shared" si="10"/>
        <v>-19.459744813594511</v>
      </c>
      <c r="M51" s="13">
        <f t="shared" si="10"/>
        <v>-16.142705705893807</v>
      </c>
      <c r="N51" s="13">
        <f t="shared" si="10"/>
        <v>-12.560303469577043</v>
      </c>
      <c r="O51" s="13">
        <f t="shared" si="10"/>
        <v>-8.6913090543549369</v>
      </c>
      <c r="P51" s="13">
        <f t="shared" si="10"/>
        <v>-4.5127950859150632</v>
      </c>
      <c r="Q51" s="13" t="str">
        <f t="shared" si="10"/>
        <v/>
      </c>
      <c r="R51" s="13" t="str">
        <f t="shared" si="10"/>
        <v/>
      </c>
      <c r="S51" s="13" t="str">
        <f t="shared" si="10"/>
        <v/>
      </c>
      <c r="T51" s="13" t="str">
        <f t="shared" si="10"/>
        <v/>
      </c>
      <c r="U51" s="13" t="str">
        <f t="shared" si="10"/>
        <v/>
      </c>
      <c r="V51" s="13" t="str">
        <f t="shared" si="10"/>
        <v/>
      </c>
      <c r="W51" s="13" t="str">
        <f t="shared" si="10"/>
        <v/>
      </c>
      <c r="X51" s="13" t="str">
        <f t="shared" si="10"/>
        <v/>
      </c>
      <c r="Y51" s="13" t="str">
        <f t="shared" si="10"/>
        <v/>
      </c>
      <c r="Z51" s="13" t="str">
        <f t="shared" si="10"/>
        <v/>
      </c>
      <c r="AA51" s="13" t="str">
        <f t="shared" si="10"/>
        <v/>
      </c>
      <c r="AB51" s="13" t="str">
        <f t="shared" si="10"/>
        <v/>
      </c>
      <c r="AC51" s="13" t="str">
        <f t="shared" si="10"/>
        <v/>
      </c>
      <c r="AD51" s="13" t="str">
        <f t="shared" si="10"/>
        <v/>
      </c>
      <c r="AE51" s="13" t="str">
        <f t="shared" si="10"/>
        <v/>
      </c>
      <c r="AF51" s="13" t="str">
        <f t="shared" si="10"/>
        <v/>
      </c>
      <c r="AG51" s="13" t="str">
        <f t="shared" si="10"/>
        <v/>
      </c>
      <c r="AH51" s="13" t="str">
        <f t="shared" si="10"/>
        <v/>
      </c>
      <c r="AI51" s="13" t="str">
        <f t="shared" si="10"/>
        <v/>
      </c>
      <c r="AJ51" s="13" t="str">
        <f t="shared" si="10"/>
        <v/>
      </c>
      <c r="AK51" s="13" t="str">
        <f t="shared" si="10"/>
        <v/>
      </c>
      <c r="AL51" s="13" t="str">
        <f t="shared" si="10"/>
        <v/>
      </c>
      <c r="AM51" s="13" t="str">
        <f t="shared" si="10"/>
        <v/>
      </c>
      <c r="AN51" s="13" t="str">
        <f t="shared" si="10"/>
        <v/>
      </c>
      <c r="AO51" s="13" t="str">
        <f t="shared" si="10"/>
        <v/>
      </c>
      <c r="AP51" s="13" t="str">
        <f t="shared" si="10"/>
        <v/>
      </c>
      <c r="AQ51" s="13" t="str">
        <f t="shared" si="10"/>
        <v/>
      </c>
      <c r="AR51" s="13" t="str">
        <f t="shared" si="10"/>
        <v/>
      </c>
      <c r="AS51" s="13" t="str">
        <f t="shared" si="10"/>
        <v/>
      </c>
      <c r="AT51" s="13" t="str">
        <f t="shared" si="10"/>
        <v/>
      </c>
      <c r="AU51" s="13" t="str">
        <f t="shared" si="10"/>
        <v/>
      </c>
      <c r="AV51" s="13" t="str">
        <f t="shared" si="10"/>
        <v/>
      </c>
      <c r="AW51" s="13" t="str">
        <f t="shared" si="10"/>
        <v/>
      </c>
      <c r="AX51" s="13" t="str">
        <f t="shared" si="10"/>
        <v/>
      </c>
      <c r="AY51" s="13" t="str">
        <f t="shared" si="10"/>
        <v/>
      </c>
      <c r="AZ51" s="13" t="str">
        <f t="shared" si="10"/>
        <v/>
      </c>
      <c r="BA51" s="13" t="str">
        <f t="shared" si="10"/>
        <v/>
      </c>
      <c r="BB51" s="13" t="str">
        <f t="shared" si="10"/>
        <v/>
      </c>
      <c r="BC51" s="13" t="str">
        <f t="shared" si="10"/>
        <v/>
      </c>
      <c r="BD51" s="13" t="str">
        <f t="shared" si="10"/>
        <v/>
      </c>
    </row>
    <row r="52" spans="1:56" s="3" customFormat="1" ht="12" customHeight="1">
      <c r="A52" s="3" t="s">
        <v>19</v>
      </c>
      <c r="C52" s="2">
        <v>29</v>
      </c>
      <c r="D52" s="3" t="s">
        <v>16</v>
      </c>
      <c r="F52" s="6" t="s">
        <v>85</v>
      </c>
      <c r="H52" s="88"/>
      <c r="I52" s="13">
        <f>H42*$H9</f>
        <v>0</v>
      </c>
      <c r="J52" s="13">
        <f>I42*$H9</f>
        <v>3.4713477986463115</v>
      </c>
      <c r="K52" s="13">
        <f t="shared" ref="K52:BD52" si="11">IF(K38&lt;=$H30,J42*$H9,"")</f>
        <v>6.100080368998988</v>
      </c>
      <c r="L52" s="13">
        <f t="shared" si="11"/>
        <v>7.8187884927945559</v>
      </c>
      <c r="M52" s="13">
        <f t="shared" si="11"/>
        <v>8.5546702143084268</v>
      </c>
      <c r="N52" s="13">
        <f t="shared" si="11"/>
        <v>8.2290994213580682</v>
      </c>
      <c r="O52" s="13">
        <f t="shared" si="11"/>
        <v>6.7571599127863466</v>
      </c>
      <c r="P52" s="13">
        <f t="shared" si="11"/>
        <v>4.0471421913435526</v>
      </c>
      <c r="Q52" s="13" t="str">
        <f t="shared" si="11"/>
        <v/>
      </c>
      <c r="R52" s="13" t="str">
        <f t="shared" si="11"/>
        <v/>
      </c>
      <c r="S52" s="13" t="str">
        <f t="shared" si="11"/>
        <v/>
      </c>
      <c r="T52" s="13" t="str">
        <f t="shared" si="11"/>
        <v/>
      </c>
      <c r="U52" s="13" t="str">
        <f t="shared" si="11"/>
        <v/>
      </c>
      <c r="V52" s="13" t="str">
        <f t="shared" si="11"/>
        <v/>
      </c>
      <c r="W52" s="13" t="str">
        <f t="shared" si="11"/>
        <v/>
      </c>
      <c r="X52" s="13" t="str">
        <f t="shared" si="11"/>
        <v/>
      </c>
      <c r="Y52" s="13" t="str">
        <f t="shared" si="11"/>
        <v/>
      </c>
      <c r="Z52" s="13" t="str">
        <f t="shared" si="11"/>
        <v/>
      </c>
      <c r="AA52" s="13" t="str">
        <f t="shared" si="11"/>
        <v/>
      </c>
      <c r="AB52" s="13" t="str">
        <f t="shared" si="11"/>
        <v/>
      </c>
      <c r="AC52" s="13" t="str">
        <f t="shared" si="11"/>
        <v/>
      </c>
      <c r="AD52" s="13" t="str">
        <f t="shared" si="11"/>
        <v/>
      </c>
      <c r="AE52" s="13" t="str">
        <f t="shared" si="11"/>
        <v/>
      </c>
      <c r="AF52" s="13" t="str">
        <f t="shared" si="11"/>
        <v/>
      </c>
      <c r="AG52" s="13" t="str">
        <f t="shared" si="11"/>
        <v/>
      </c>
      <c r="AH52" s="13" t="str">
        <f t="shared" si="11"/>
        <v/>
      </c>
      <c r="AI52" s="13" t="str">
        <f t="shared" si="11"/>
        <v/>
      </c>
      <c r="AJ52" s="13" t="str">
        <f t="shared" si="11"/>
        <v/>
      </c>
      <c r="AK52" s="13" t="str">
        <f t="shared" si="11"/>
        <v/>
      </c>
      <c r="AL52" s="13" t="str">
        <f t="shared" si="11"/>
        <v/>
      </c>
      <c r="AM52" s="13" t="str">
        <f t="shared" si="11"/>
        <v/>
      </c>
      <c r="AN52" s="13" t="str">
        <f t="shared" si="11"/>
        <v/>
      </c>
      <c r="AO52" s="13" t="str">
        <f t="shared" si="11"/>
        <v/>
      </c>
      <c r="AP52" s="13" t="str">
        <f t="shared" si="11"/>
        <v/>
      </c>
      <c r="AQ52" s="13" t="str">
        <f t="shared" si="11"/>
        <v/>
      </c>
      <c r="AR52" s="13" t="str">
        <f t="shared" si="11"/>
        <v/>
      </c>
      <c r="AS52" s="13" t="str">
        <f t="shared" si="11"/>
        <v/>
      </c>
      <c r="AT52" s="13" t="str">
        <f t="shared" si="11"/>
        <v/>
      </c>
      <c r="AU52" s="13" t="str">
        <f t="shared" si="11"/>
        <v/>
      </c>
      <c r="AV52" s="13" t="str">
        <f t="shared" si="11"/>
        <v/>
      </c>
      <c r="AW52" s="13" t="str">
        <f t="shared" si="11"/>
        <v/>
      </c>
      <c r="AX52" s="13" t="str">
        <f t="shared" si="11"/>
        <v/>
      </c>
      <c r="AY52" s="13" t="str">
        <f t="shared" si="11"/>
        <v/>
      </c>
      <c r="AZ52" s="13" t="str">
        <f t="shared" si="11"/>
        <v/>
      </c>
      <c r="BA52" s="13" t="str">
        <f t="shared" si="11"/>
        <v/>
      </c>
      <c r="BB52" s="13" t="str">
        <f t="shared" si="11"/>
        <v/>
      </c>
      <c r="BC52" s="13" t="str">
        <f t="shared" si="11"/>
        <v/>
      </c>
      <c r="BD52" s="13" t="str">
        <f t="shared" si="11"/>
        <v/>
      </c>
    </row>
    <row r="53" spans="1:56" s="3" customFormat="1" ht="12" customHeight="1">
      <c r="A53" s="3" t="s">
        <v>19</v>
      </c>
      <c r="C53" s="2">
        <v>30</v>
      </c>
      <c r="D53" s="3" t="s">
        <v>3</v>
      </c>
      <c r="F53" s="8" t="s">
        <v>86</v>
      </c>
      <c r="H53" s="89"/>
      <c r="I53" s="13">
        <f>-SUM(I49:I52)*$H$12</f>
        <v>31.106662951322605</v>
      </c>
      <c r="J53" s="13">
        <f>-SUM(J49:J52)*$H$12</f>
        <v>5.8857588739097793</v>
      </c>
      <c r="K53" s="13">
        <f t="shared" ref="K53:BD53" si="12">IF(K38&lt;=$H30,-SUM(K49:K52)*$H$12,"")</f>
        <v>-3.2087529192589712</v>
      </c>
      <c r="L53" s="13">
        <f t="shared" si="12"/>
        <v>-12.166761045444156</v>
      </c>
      <c r="M53" s="13">
        <f t="shared" si="12"/>
        <v>-16.977345211287084</v>
      </c>
      <c r="N53" s="13">
        <f t="shared" si="12"/>
        <v>-21.628711499960371</v>
      </c>
      <c r="O53" s="13">
        <f t="shared" si="12"/>
        <v>-30.108122481290458</v>
      </c>
      <c r="P53" s="13">
        <f t="shared" si="12"/>
        <v>-38.801821730689888</v>
      </c>
      <c r="Q53" s="13" t="str">
        <f t="shared" si="12"/>
        <v/>
      </c>
      <c r="R53" s="13" t="str">
        <f t="shared" si="12"/>
        <v/>
      </c>
      <c r="S53" s="13" t="str">
        <f t="shared" si="12"/>
        <v/>
      </c>
      <c r="T53" s="13" t="str">
        <f t="shared" si="12"/>
        <v/>
      </c>
      <c r="U53" s="13" t="str">
        <f t="shared" si="12"/>
        <v/>
      </c>
      <c r="V53" s="13" t="str">
        <f t="shared" si="12"/>
        <v/>
      </c>
      <c r="W53" s="13" t="str">
        <f t="shared" si="12"/>
        <v/>
      </c>
      <c r="X53" s="13" t="str">
        <f t="shared" si="12"/>
        <v/>
      </c>
      <c r="Y53" s="13" t="str">
        <f t="shared" si="12"/>
        <v/>
      </c>
      <c r="Z53" s="13" t="str">
        <f t="shared" si="12"/>
        <v/>
      </c>
      <c r="AA53" s="13" t="str">
        <f t="shared" si="12"/>
        <v/>
      </c>
      <c r="AB53" s="13" t="str">
        <f t="shared" si="12"/>
        <v/>
      </c>
      <c r="AC53" s="13" t="str">
        <f t="shared" si="12"/>
        <v/>
      </c>
      <c r="AD53" s="13" t="str">
        <f t="shared" si="12"/>
        <v/>
      </c>
      <c r="AE53" s="13" t="str">
        <f t="shared" si="12"/>
        <v/>
      </c>
      <c r="AF53" s="13" t="str">
        <f t="shared" si="12"/>
        <v/>
      </c>
      <c r="AG53" s="13" t="str">
        <f t="shared" si="12"/>
        <v/>
      </c>
      <c r="AH53" s="13" t="str">
        <f t="shared" si="12"/>
        <v/>
      </c>
      <c r="AI53" s="13" t="str">
        <f t="shared" si="12"/>
        <v/>
      </c>
      <c r="AJ53" s="13" t="str">
        <f t="shared" si="12"/>
        <v/>
      </c>
      <c r="AK53" s="13" t="str">
        <f t="shared" si="12"/>
        <v/>
      </c>
      <c r="AL53" s="13" t="str">
        <f t="shared" si="12"/>
        <v/>
      </c>
      <c r="AM53" s="13" t="str">
        <f t="shared" si="12"/>
        <v/>
      </c>
      <c r="AN53" s="13" t="str">
        <f t="shared" si="12"/>
        <v/>
      </c>
      <c r="AO53" s="13" t="str">
        <f t="shared" si="12"/>
        <v/>
      </c>
      <c r="AP53" s="13" t="str">
        <f t="shared" si="12"/>
        <v/>
      </c>
      <c r="AQ53" s="13" t="str">
        <f t="shared" si="12"/>
        <v/>
      </c>
      <c r="AR53" s="13" t="str">
        <f t="shared" si="12"/>
        <v/>
      </c>
      <c r="AS53" s="13" t="str">
        <f t="shared" si="12"/>
        <v/>
      </c>
      <c r="AT53" s="13" t="str">
        <f t="shared" si="12"/>
        <v/>
      </c>
      <c r="AU53" s="13" t="str">
        <f t="shared" si="12"/>
        <v/>
      </c>
      <c r="AV53" s="13" t="str">
        <f t="shared" si="12"/>
        <v/>
      </c>
      <c r="AW53" s="13" t="str">
        <f t="shared" si="12"/>
        <v/>
      </c>
      <c r="AX53" s="13" t="str">
        <f t="shared" si="12"/>
        <v/>
      </c>
      <c r="AY53" s="13" t="str">
        <f t="shared" si="12"/>
        <v/>
      </c>
      <c r="AZ53" s="13" t="str">
        <f t="shared" si="12"/>
        <v/>
      </c>
      <c r="BA53" s="13" t="str">
        <f t="shared" si="12"/>
        <v/>
      </c>
      <c r="BB53" s="13" t="str">
        <f t="shared" si="12"/>
        <v/>
      </c>
      <c r="BC53" s="13" t="str">
        <f t="shared" si="12"/>
        <v/>
      </c>
      <c r="BD53" s="13" t="str">
        <f t="shared" si="12"/>
        <v/>
      </c>
    </row>
    <row r="54" spans="1:56" s="3" customFormat="1" ht="12.75" customHeight="1" thickBot="1">
      <c r="A54" s="3" t="s">
        <v>19</v>
      </c>
      <c r="C54" s="2">
        <v>31</v>
      </c>
      <c r="D54" s="3" t="s">
        <v>6</v>
      </c>
      <c r="F54" s="6" t="s">
        <v>87</v>
      </c>
      <c r="H54" s="89"/>
      <c r="I54" s="17">
        <f>SUM(I49:I53)</f>
        <v>-124.42665180529015</v>
      </c>
      <c r="J54" s="17">
        <f>SUM(J49:J53)</f>
        <v>-23.543035495639067</v>
      </c>
      <c r="K54" s="17">
        <f t="shared" ref="K54:BD54" si="13">IF(K38&lt;=$H30,SUM(K49:K53),"")</f>
        <v>12.835011677035856</v>
      </c>
      <c r="L54" s="17">
        <f t="shared" si="13"/>
        <v>48.667044181776525</v>
      </c>
      <c r="M54" s="17">
        <f t="shared" si="13"/>
        <v>67.909380845148178</v>
      </c>
      <c r="N54" s="17">
        <f t="shared" si="13"/>
        <v>86.514845999841299</v>
      </c>
      <c r="O54" s="17">
        <f t="shared" si="13"/>
        <v>120.43248992516158</v>
      </c>
      <c r="P54" s="17">
        <f t="shared" si="13"/>
        <v>155.20728692275924</v>
      </c>
      <c r="Q54" s="17" t="str">
        <f t="shared" si="13"/>
        <v/>
      </c>
      <c r="R54" s="17" t="str">
        <f t="shared" si="13"/>
        <v/>
      </c>
      <c r="S54" s="17" t="str">
        <f t="shared" si="13"/>
        <v/>
      </c>
      <c r="T54" s="17" t="str">
        <f t="shared" si="13"/>
        <v/>
      </c>
      <c r="U54" s="17" t="str">
        <f t="shared" si="13"/>
        <v/>
      </c>
      <c r="V54" s="17" t="str">
        <f t="shared" si="13"/>
        <v/>
      </c>
      <c r="W54" s="17" t="str">
        <f t="shared" si="13"/>
        <v/>
      </c>
      <c r="X54" s="17" t="str">
        <f t="shared" si="13"/>
        <v/>
      </c>
      <c r="Y54" s="17" t="str">
        <f t="shared" si="13"/>
        <v/>
      </c>
      <c r="Z54" s="17" t="str">
        <f t="shared" si="13"/>
        <v/>
      </c>
      <c r="AA54" s="17" t="str">
        <f t="shared" si="13"/>
        <v/>
      </c>
      <c r="AB54" s="17" t="str">
        <f t="shared" si="13"/>
        <v/>
      </c>
      <c r="AC54" s="17" t="str">
        <f t="shared" si="13"/>
        <v/>
      </c>
      <c r="AD54" s="17" t="str">
        <f t="shared" si="13"/>
        <v/>
      </c>
      <c r="AE54" s="17" t="str">
        <f t="shared" si="13"/>
        <v/>
      </c>
      <c r="AF54" s="17" t="str">
        <f t="shared" si="13"/>
        <v/>
      </c>
      <c r="AG54" s="17" t="str">
        <f t="shared" si="13"/>
        <v/>
      </c>
      <c r="AH54" s="17" t="str">
        <f t="shared" si="13"/>
        <v/>
      </c>
      <c r="AI54" s="17" t="str">
        <f t="shared" si="13"/>
        <v/>
      </c>
      <c r="AJ54" s="17" t="str">
        <f t="shared" si="13"/>
        <v/>
      </c>
      <c r="AK54" s="17" t="str">
        <f t="shared" si="13"/>
        <v/>
      </c>
      <c r="AL54" s="17" t="str">
        <f t="shared" si="13"/>
        <v/>
      </c>
      <c r="AM54" s="17" t="str">
        <f t="shared" si="13"/>
        <v/>
      </c>
      <c r="AN54" s="17" t="str">
        <f t="shared" si="13"/>
        <v/>
      </c>
      <c r="AO54" s="17" t="str">
        <f t="shared" si="13"/>
        <v/>
      </c>
      <c r="AP54" s="17" t="str">
        <f t="shared" si="13"/>
        <v/>
      </c>
      <c r="AQ54" s="17" t="str">
        <f t="shared" si="13"/>
        <v/>
      </c>
      <c r="AR54" s="17" t="str">
        <f t="shared" si="13"/>
        <v/>
      </c>
      <c r="AS54" s="17" t="str">
        <f t="shared" si="13"/>
        <v/>
      </c>
      <c r="AT54" s="17" t="str">
        <f t="shared" si="13"/>
        <v/>
      </c>
      <c r="AU54" s="17" t="str">
        <f t="shared" si="13"/>
        <v/>
      </c>
      <c r="AV54" s="17" t="str">
        <f t="shared" si="13"/>
        <v/>
      </c>
      <c r="AW54" s="17" t="str">
        <f t="shared" si="13"/>
        <v/>
      </c>
      <c r="AX54" s="17" t="str">
        <f t="shared" si="13"/>
        <v/>
      </c>
      <c r="AY54" s="17" t="str">
        <f t="shared" si="13"/>
        <v/>
      </c>
      <c r="AZ54" s="17" t="str">
        <f t="shared" si="13"/>
        <v/>
      </c>
      <c r="BA54" s="17" t="str">
        <f t="shared" si="13"/>
        <v/>
      </c>
      <c r="BB54" s="17" t="str">
        <f t="shared" si="13"/>
        <v/>
      </c>
      <c r="BC54" s="17" t="str">
        <f t="shared" si="13"/>
        <v/>
      </c>
      <c r="BD54" s="17" t="str">
        <f t="shared" si="13"/>
        <v/>
      </c>
    </row>
    <row r="55" spans="1:56" s="3" customFormat="1" ht="16.5" thickTop="1">
      <c r="C55" s="4" t="s">
        <v>39</v>
      </c>
      <c r="E55" s="7"/>
      <c r="F55" s="6"/>
      <c r="H55" s="88"/>
      <c r="I55" s="13"/>
      <c r="J55" s="13"/>
      <c r="K55" s="13"/>
      <c r="L55" s="13"/>
      <c r="M55" s="13"/>
      <c r="N55" s="13"/>
      <c r="O55" s="13"/>
    </row>
    <row r="56" spans="1:56" s="3" customFormat="1" ht="12" customHeight="1">
      <c r="A56" s="3" t="s">
        <v>19</v>
      </c>
      <c r="C56" s="2">
        <v>32</v>
      </c>
      <c r="D56" s="3" t="s">
        <v>6</v>
      </c>
      <c r="F56" s="6" t="s">
        <v>88</v>
      </c>
      <c r="H56" s="88"/>
      <c r="I56" s="15">
        <f>I54</f>
        <v>-124.42665180529015</v>
      </c>
      <c r="J56" s="15">
        <f>J54</f>
        <v>-23.543035495639067</v>
      </c>
      <c r="K56" s="15">
        <f t="shared" ref="K56:BD56" si="14">IF(K38&lt;=$H30,K54,"")</f>
        <v>12.835011677035856</v>
      </c>
      <c r="L56" s="15">
        <f t="shared" si="14"/>
        <v>48.667044181776525</v>
      </c>
      <c r="M56" s="15">
        <f t="shared" si="14"/>
        <v>67.909380845148178</v>
      </c>
      <c r="N56" s="15">
        <f t="shared" si="14"/>
        <v>86.514845999841299</v>
      </c>
      <c r="O56" s="15">
        <f t="shared" si="14"/>
        <v>120.43248992516158</v>
      </c>
      <c r="P56" s="15">
        <f t="shared" si="14"/>
        <v>155.20728692275924</v>
      </c>
      <c r="Q56" s="15" t="str">
        <f t="shared" si="14"/>
        <v/>
      </c>
      <c r="R56" s="15" t="str">
        <f t="shared" si="14"/>
        <v/>
      </c>
      <c r="S56" s="15" t="str">
        <f t="shared" si="14"/>
        <v/>
      </c>
      <c r="T56" s="15" t="str">
        <f t="shared" si="14"/>
        <v/>
      </c>
      <c r="U56" s="15" t="str">
        <f t="shared" si="14"/>
        <v/>
      </c>
      <c r="V56" s="15" t="str">
        <f t="shared" si="14"/>
        <v/>
      </c>
      <c r="W56" s="15" t="str">
        <f t="shared" si="14"/>
        <v/>
      </c>
      <c r="X56" s="15" t="str">
        <f t="shared" si="14"/>
        <v/>
      </c>
      <c r="Y56" s="15" t="str">
        <f t="shared" si="14"/>
        <v/>
      </c>
      <c r="Z56" s="15" t="str">
        <f t="shared" si="14"/>
        <v/>
      </c>
      <c r="AA56" s="15" t="str">
        <f t="shared" si="14"/>
        <v/>
      </c>
      <c r="AB56" s="15" t="str">
        <f t="shared" si="14"/>
        <v/>
      </c>
      <c r="AC56" s="15" t="str">
        <f t="shared" si="14"/>
        <v/>
      </c>
      <c r="AD56" s="15" t="str">
        <f t="shared" si="14"/>
        <v/>
      </c>
      <c r="AE56" s="15" t="str">
        <f t="shared" si="14"/>
        <v/>
      </c>
      <c r="AF56" s="15" t="str">
        <f t="shared" si="14"/>
        <v/>
      </c>
      <c r="AG56" s="15" t="str">
        <f t="shared" si="14"/>
        <v/>
      </c>
      <c r="AH56" s="15" t="str">
        <f t="shared" si="14"/>
        <v/>
      </c>
      <c r="AI56" s="15" t="str">
        <f t="shared" si="14"/>
        <v/>
      </c>
      <c r="AJ56" s="15" t="str">
        <f t="shared" si="14"/>
        <v/>
      </c>
      <c r="AK56" s="15" t="str">
        <f t="shared" si="14"/>
        <v/>
      </c>
      <c r="AL56" s="15" t="str">
        <f t="shared" si="14"/>
        <v/>
      </c>
      <c r="AM56" s="15" t="str">
        <f t="shared" si="14"/>
        <v/>
      </c>
      <c r="AN56" s="15" t="str">
        <f t="shared" si="14"/>
        <v/>
      </c>
      <c r="AO56" s="15" t="str">
        <f t="shared" si="14"/>
        <v/>
      </c>
      <c r="AP56" s="15" t="str">
        <f t="shared" si="14"/>
        <v/>
      </c>
      <c r="AQ56" s="15" t="str">
        <f t="shared" si="14"/>
        <v/>
      </c>
      <c r="AR56" s="15" t="str">
        <f t="shared" si="14"/>
        <v/>
      </c>
      <c r="AS56" s="15" t="str">
        <f t="shared" si="14"/>
        <v/>
      </c>
      <c r="AT56" s="15" t="str">
        <f t="shared" si="14"/>
        <v/>
      </c>
      <c r="AU56" s="15" t="str">
        <f t="shared" si="14"/>
        <v/>
      </c>
      <c r="AV56" s="15" t="str">
        <f t="shared" si="14"/>
        <v/>
      </c>
      <c r="AW56" s="15" t="str">
        <f t="shared" si="14"/>
        <v/>
      </c>
      <c r="AX56" s="15" t="str">
        <f t="shared" si="14"/>
        <v/>
      </c>
      <c r="AY56" s="15" t="str">
        <f t="shared" si="14"/>
        <v/>
      </c>
      <c r="AZ56" s="15" t="str">
        <f t="shared" si="14"/>
        <v/>
      </c>
      <c r="BA56" s="15" t="str">
        <f t="shared" si="14"/>
        <v/>
      </c>
      <c r="BB56" s="15" t="str">
        <f t="shared" si="14"/>
        <v/>
      </c>
      <c r="BC56" s="15" t="str">
        <f t="shared" si="14"/>
        <v/>
      </c>
      <c r="BD56" s="15" t="str">
        <f t="shared" si="14"/>
        <v/>
      </c>
    </row>
    <row r="57" spans="1:56" s="3" customFormat="1" ht="12" customHeight="1">
      <c r="C57" s="2">
        <v>33</v>
      </c>
      <c r="D57" s="3" t="s">
        <v>7</v>
      </c>
      <c r="F57" s="6" t="s">
        <v>89</v>
      </c>
      <c r="H57" s="88"/>
      <c r="I57" s="13">
        <f>-I50</f>
        <v>87.525238451979362</v>
      </c>
      <c r="J57" s="13">
        <f>-J50</f>
        <v>87.525238451979362</v>
      </c>
      <c r="K57" s="13">
        <f t="shared" ref="K57:BD57" si="15">IF(K38&lt;=$H30,-K50,"")</f>
        <v>87.525238451979362</v>
      </c>
      <c r="L57" s="13">
        <f t="shared" si="15"/>
        <v>87.525238451979362</v>
      </c>
      <c r="M57" s="13">
        <f t="shared" si="15"/>
        <v>87.525238451979362</v>
      </c>
      <c r="N57" s="13">
        <f t="shared" si="15"/>
        <v>87.525238451979362</v>
      </c>
      <c r="O57" s="13">
        <f t="shared" si="15"/>
        <v>87.525238451979362</v>
      </c>
      <c r="P57" s="13">
        <f t="shared" si="15"/>
        <v>87.525238451979362</v>
      </c>
      <c r="Q57" s="13" t="str">
        <f t="shared" si="15"/>
        <v/>
      </c>
      <c r="R57" s="13" t="str">
        <f t="shared" si="15"/>
        <v/>
      </c>
      <c r="S57" s="13" t="str">
        <f t="shared" si="15"/>
        <v/>
      </c>
      <c r="T57" s="13" t="str">
        <f t="shared" si="15"/>
        <v/>
      </c>
      <c r="U57" s="13" t="str">
        <f t="shared" si="15"/>
        <v/>
      </c>
      <c r="V57" s="13" t="str">
        <f t="shared" si="15"/>
        <v/>
      </c>
      <c r="W57" s="13" t="str">
        <f t="shared" si="15"/>
        <v/>
      </c>
      <c r="X57" s="13" t="str">
        <f t="shared" si="15"/>
        <v/>
      </c>
      <c r="Y57" s="13" t="str">
        <f t="shared" si="15"/>
        <v/>
      </c>
      <c r="Z57" s="13" t="str">
        <f t="shared" si="15"/>
        <v/>
      </c>
      <c r="AA57" s="13" t="str">
        <f t="shared" si="15"/>
        <v/>
      </c>
      <c r="AB57" s="13" t="str">
        <f t="shared" si="15"/>
        <v/>
      </c>
      <c r="AC57" s="13" t="str">
        <f t="shared" si="15"/>
        <v/>
      </c>
      <c r="AD57" s="13" t="str">
        <f t="shared" si="15"/>
        <v/>
      </c>
      <c r="AE57" s="13" t="str">
        <f t="shared" si="15"/>
        <v/>
      </c>
      <c r="AF57" s="13" t="str">
        <f t="shared" si="15"/>
        <v/>
      </c>
      <c r="AG57" s="13" t="str">
        <f t="shared" si="15"/>
        <v/>
      </c>
      <c r="AH57" s="13" t="str">
        <f t="shared" si="15"/>
        <v/>
      </c>
      <c r="AI57" s="13" t="str">
        <f t="shared" si="15"/>
        <v/>
      </c>
      <c r="AJ57" s="13" t="str">
        <f t="shared" si="15"/>
        <v/>
      </c>
      <c r="AK57" s="13" t="str">
        <f t="shared" si="15"/>
        <v/>
      </c>
      <c r="AL57" s="13" t="str">
        <f t="shared" si="15"/>
        <v/>
      </c>
      <c r="AM57" s="13" t="str">
        <f t="shared" si="15"/>
        <v/>
      </c>
      <c r="AN57" s="13" t="str">
        <f t="shared" si="15"/>
        <v/>
      </c>
      <c r="AO57" s="13" t="str">
        <f t="shared" si="15"/>
        <v/>
      </c>
      <c r="AP57" s="13" t="str">
        <f t="shared" si="15"/>
        <v/>
      </c>
      <c r="AQ57" s="13" t="str">
        <f t="shared" si="15"/>
        <v/>
      </c>
      <c r="AR57" s="13" t="str">
        <f t="shared" si="15"/>
        <v/>
      </c>
      <c r="AS57" s="13" t="str">
        <f t="shared" si="15"/>
        <v/>
      </c>
      <c r="AT57" s="13" t="str">
        <f t="shared" si="15"/>
        <v/>
      </c>
      <c r="AU57" s="13" t="str">
        <f t="shared" si="15"/>
        <v/>
      </c>
      <c r="AV57" s="13" t="str">
        <f t="shared" si="15"/>
        <v/>
      </c>
      <c r="AW57" s="13" t="str">
        <f t="shared" si="15"/>
        <v/>
      </c>
      <c r="AX57" s="13" t="str">
        <f t="shared" si="15"/>
        <v/>
      </c>
      <c r="AY57" s="13" t="str">
        <f t="shared" si="15"/>
        <v/>
      </c>
      <c r="AZ57" s="13" t="str">
        <f t="shared" si="15"/>
        <v/>
      </c>
      <c r="BA57" s="13" t="str">
        <f t="shared" si="15"/>
        <v/>
      </c>
      <c r="BB57" s="13" t="str">
        <f t="shared" si="15"/>
        <v/>
      </c>
      <c r="BC57" s="13" t="str">
        <f t="shared" si="15"/>
        <v/>
      </c>
      <c r="BD57" s="13" t="str">
        <f t="shared" si="15"/>
        <v/>
      </c>
    </row>
    <row r="58" spans="1:56" s="3" customFormat="1" ht="12" customHeight="1">
      <c r="C58" s="2">
        <v>34</v>
      </c>
      <c r="D58" s="90" t="s">
        <v>52</v>
      </c>
      <c r="F58" s="6" t="s">
        <v>90</v>
      </c>
      <c r="H58" s="88"/>
      <c r="I58" s="13">
        <f>H42-I42</f>
        <v>-21.695923741539445</v>
      </c>
      <c r="J58" s="13">
        <f>I42-J42</f>
        <v>-16.429578564704229</v>
      </c>
      <c r="K58" s="13">
        <f t="shared" ref="K58:BD58" si="16">IF(K38&lt;=$H30,J42-K42,"")</f>
        <v>-10.741925773722301</v>
      </c>
      <c r="L58" s="13">
        <f t="shared" si="16"/>
        <v>-4.5992607594616857</v>
      </c>
      <c r="M58" s="13">
        <f t="shared" si="16"/>
        <v>2.0348174559397307</v>
      </c>
      <c r="N58" s="13">
        <f t="shared" si="16"/>
        <v>9.199621928573265</v>
      </c>
      <c r="O58" s="13">
        <f t="shared" si="16"/>
        <v>16.93761075901746</v>
      </c>
      <c r="P58" s="13">
        <f t="shared" si="16"/>
        <v>25.294638695897191</v>
      </c>
      <c r="Q58" s="13" t="str">
        <f t="shared" si="16"/>
        <v/>
      </c>
      <c r="R58" s="13" t="str">
        <f t="shared" si="16"/>
        <v/>
      </c>
      <c r="S58" s="13" t="str">
        <f t="shared" si="16"/>
        <v/>
      </c>
      <c r="T58" s="13" t="str">
        <f t="shared" si="16"/>
        <v/>
      </c>
      <c r="U58" s="13" t="str">
        <f t="shared" si="16"/>
        <v/>
      </c>
      <c r="V58" s="13" t="str">
        <f t="shared" si="16"/>
        <v/>
      </c>
      <c r="W58" s="13" t="str">
        <f t="shared" si="16"/>
        <v/>
      </c>
      <c r="X58" s="13" t="str">
        <f t="shared" si="16"/>
        <v/>
      </c>
      <c r="Y58" s="13" t="str">
        <f t="shared" si="16"/>
        <v/>
      </c>
      <c r="Z58" s="13" t="str">
        <f t="shared" si="16"/>
        <v/>
      </c>
      <c r="AA58" s="13" t="str">
        <f t="shared" si="16"/>
        <v/>
      </c>
      <c r="AB58" s="13" t="str">
        <f t="shared" si="16"/>
        <v/>
      </c>
      <c r="AC58" s="13" t="str">
        <f t="shared" si="16"/>
        <v/>
      </c>
      <c r="AD58" s="13" t="str">
        <f t="shared" si="16"/>
        <v/>
      </c>
      <c r="AE58" s="13" t="str">
        <f t="shared" si="16"/>
        <v/>
      </c>
      <c r="AF58" s="13" t="str">
        <f t="shared" si="16"/>
        <v/>
      </c>
      <c r="AG58" s="13" t="str">
        <f t="shared" si="16"/>
        <v/>
      </c>
      <c r="AH58" s="13" t="str">
        <f t="shared" si="16"/>
        <v/>
      </c>
      <c r="AI58" s="13" t="str">
        <f t="shared" si="16"/>
        <v/>
      </c>
      <c r="AJ58" s="13" t="str">
        <f t="shared" si="16"/>
        <v/>
      </c>
      <c r="AK58" s="13" t="str">
        <f t="shared" si="16"/>
        <v/>
      </c>
      <c r="AL58" s="13" t="str">
        <f t="shared" si="16"/>
        <v/>
      </c>
      <c r="AM58" s="13" t="str">
        <f t="shared" si="16"/>
        <v/>
      </c>
      <c r="AN58" s="13" t="str">
        <f t="shared" si="16"/>
        <v/>
      </c>
      <c r="AO58" s="13" t="str">
        <f t="shared" si="16"/>
        <v/>
      </c>
      <c r="AP58" s="13" t="str">
        <f t="shared" si="16"/>
        <v/>
      </c>
      <c r="AQ58" s="13" t="str">
        <f t="shared" si="16"/>
        <v/>
      </c>
      <c r="AR58" s="13" t="str">
        <f t="shared" si="16"/>
        <v/>
      </c>
      <c r="AS58" s="13" t="str">
        <f t="shared" si="16"/>
        <v/>
      </c>
      <c r="AT58" s="13" t="str">
        <f t="shared" si="16"/>
        <v/>
      </c>
      <c r="AU58" s="13" t="str">
        <f t="shared" si="16"/>
        <v/>
      </c>
      <c r="AV58" s="13" t="str">
        <f t="shared" si="16"/>
        <v/>
      </c>
      <c r="AW58" s="13" t="str">
        <f t="shared" si="16"/>
        <v/>
      </c>
      <c r="AX58" s="13" t="str">
        <f t="shared" si="16"/>
        <v/>
      </c>
      <c r="AY58" s="13" t="str">
        <f t="shared" si="16"/>
        <v/>
      </c>
      <c r="AZ58" s="13" t="str">
        <f t="shared" si="16"/>
        <v/>
      </c>
      <c r="BA58" s="13" t="str">
        <f t="shared" si="16"/>
        <v/>
      </c>
      <c r="BB58" s="13" t="str">
        <f t="shared" si="16"/>
        <v/>
      </c>
      <c r="BC58" s="13" t="str">
        <f t="shared" si="16"/>
        <v/>
      </c>
      <c r="BD58" s="13" t="str">
        <f t="shared" si="16"/>
        <v/>
      </c>
    </row>
    <row r="59" spans="1:56" s="3" customFormat="1" ht="12" customHeight="1">
      <c r="A59" s="3" t="s">
        <v>19</v>
      </c>
      <c r="C59" s="2">
        <v>35</v>
      </c>
      <c r="D59" s="37" t="s">
        <v>18</v>
      </c>
      <c r="F59" s="6" t="s">
        <v>91</v>
      </c>
      <c r="H59" s="15">
        <f>(H44-0)*$H10</f>
        <v>560.16152609266794</v>
      </c>
      <c r="I59" s="13">
        <f>(I44-H44)*$H10</f>
        <v>-52.663451768351933</v>
      </c>
      <c r="J59" s="13">
        <f t="shared" ref="J59:BD59" si="17">IF(J38&lt;=$H30,(J44-I44)*$H10,"")</f>
        <v>-56.876527909820112</v>
      </c>
      <c r="K59" s="13">
        <f t="shared" si="17"/>
        <v>-61.426650142605652</v>
      </c>
      <c r="L59" s="13">
        <f t="shared" si="17"/>
        <v>-66.34078215401415</v>
      </c>
      <c r="M59" s="13">
        <f t="shared" si="17"/>
        <v>-71.648044726335272</v>
      </c>
      <c r="N59" s="13">
        <f t="shared" si="17"/>
        <v>-77.379888304442105</v>
      </c>
      <c r="O59" s="13">
        <f t="shared" si="17"/>
        <v>-83.570279368797458</v>
      </c>
      <c r="P59" s="13">
        <f t="shared" si="17"/>
        <v>-90.255901718301246</v>
      </c>
      <c r="Q59" s="13" t="str">
        <f t="shared" si="17"/>
        <v/>
      </c>
      <c r="R59" s="13" t="str">
        <f t="shared" si="17"/>
        <v/>
      </c>
      <c r="S59" s="13" t="str">
        <f t="shared" si="17"/>
        <v/>
      </c>
      <c r="T59" s="13" t="str">
        <f t="shared" si="17"/>
        <v/>
      </c>
      <c r="U59" s="13" t="str">
        <f t="shared" si="17"/>
        <v/>
      </c>
      <c r="V59" s="13" t="str">
        <f t="shared" si="17"/>
        <v/>
      </c>
      <c r="W59" s="13" t="str">
        <f t="shared" si="17"/>
        <v/>
      </c>
      <c r="X59" s="13" t="str">
        <f t="shared" si="17"/>
        <v/>
      </c>
      <c r="Y59" s="13" t="str">
        <f t="shared" si="17"/>
        <v/>
      </c>
      <c r="Z59" s="13" t="str">
        <f t="shared" si="17"/>
        <v/>
      </c>
      <c r="AA59" s="13" t="str">
        <f t="shared" si="17"/>
        <v/>
      </c>
      <c r="AB59" s="13" t="str">
        <f t="shared" si="17"/>
        <v/>
      </c>
      <c r="AC59" s="13" t="str">
        <f t="shared" si="17"/>
        <v/>
      </c>
      <c r="AD59" s="13" t="str">
        <f t="shared" si="17"/>
        <v/>
      </c>
      <c r="AE59" s="13" t="str">
        <f t="shared" si="17"/>
        <v/>
      </c>
      <c r="AF59" s="13" t="str">
        <f t="shared" si="17"/>
        <v/>
      </c>
      <c r="AG59" s="13" t="str">
        <f t="shared" si="17"/>
        <v/>
      </c>
      <c r="AH59" s="13" t="str">
        <f t="shared" si="17"/>
        <v/>
      </c>
      <c r="AI59" s="13" t="str">
        <f t="shared" si="17"/>
        <v/>
      </c>
      <c r="AJ59" s="13" t="str">
        <f t="shared" si="17"/>
        <v/>
      </c>
      <c r="AK59" s="13" t="str">
        <f t="shared" si="17"/>
        <v/>
      </c>
      <c r="AL59" s="13" t="str">
        <f t="shared" si="17"/>
        <v/>
      </c>
      <c r="AM59" s="13" t="str">
        <f t="shared" si="17"/>
        <v/>
      </c>
      <c r="AN59" s="13" t="str">
        <f t="shared" si="17"/>
        <v/>
      </c>
      <c r="AO59" s="13" t="str">
        <f t="shared" si="17"/>
        <v/>
      </c>
      <c r="AP59" s="13" t="str">
        <f t="shared" si="17"/>
        <v/>
      </c>
      <c r="AQ59" s="13" t="str">
        <f t="shared" si="17"/>
        <v/>
      </c>
      <c r="AR59" s="13" t="str">
        <f t="shared" si="17"/>
        <v/>
      </c>
      <c r="AS59" s="13" t="str">
        <f t="shared" si="17"/>
        <v/>
      </c>
      <c r="AT59" s="13" t="str">
        <f t="shared" si="17"/>
        <v/>
      </c>
      <c r="AU59" s="13" t="str">
        <f t="shared" si="17"/>
        <v/>
      </c>
      <c r="AV59" s="13" t="str">
        <f t="shared" si="17"/>
        <v/>
      </c>
      <c r="AW59" s="13" t="str">
        <f t="shared" si="17"/>
        <v/>
      </c>
      <c r="AX59" s="13" t="str">
        <f t="shared" si="17"/>
        <v/>
      </c>
      <c r="AY59" s="13" t="str">
        <f t="shared" si="17"/>
        <v/>
      </c>
      <c r="AZ59" s="13" t="str">
        <f t="shared" si="17"/>
        <v/>
      </c>
      <c r="BA59" s="13" t="str">
        <f t="shared" si="17"/>
        <v/>
      </c>
      <c r="BB59" s="13" t="str">
        <f t="shared" si="17"/>
        <v/>
      </c>
      <c r="BC59" s="13" t="str">
        <f t="shared" si="17"/>
        <v/>
      </c>
      <c r="BD59" s="13" t="str">
        <f t="shared" si="17"/>
        <v/>
      </c>
    </row>
    <row r="60" spans="1:56" s="3" customFormat="1" ht="12" customHeight="1">
      <c r="A60" s="3" t="s">
        <v>19</v>
      </c>
      <c r="C60" s="2">
        <v>36</v>
      </c>
      <c r="D60" s="37" t="s">
        <v>17</v>
      </c>
      <c r="F60" s="8" t="s">
        <v>92</v>
      </c>
      <c r="G60" s="6"/>
      <c r="H60" s="12">
        <f>-H39</f>
        <v>-700.2019076158349</v>
      </c>
      <c r="I60" s="13"/>
      <c r="J60" s="13"/>
      <c r="K60" s="13"/>
      <c r="L60" s="13"/>
      <c r="M60" s="13"/>
      <c r="N60" s="13"/>
      <c r="O60" s="13"/>
    </row>
    <row r="61" spans="1:56" s="3" customFormat="1" ht="12.75" customHeight="1" thickBot="1">
      <c r="A61" s="3" t="s">
        <v>19</v>
      </c>
      <c r="C61" s="2">
        <v>37</v>
      </c>
      <c r="D61" s="105" t="s">
        <v>61</v>
      </c>
      <c r="F61" s="6" t="s">
        <v>93</v>
      </c>
      <c r="H61" s="17">
        <f>SUM(H56:H60)</f>
        <v>-140.04038152316696</v>
      </c>
      <c r="I61" s="17">
        <f>SUM(I56:I60)</f>
        <v>-111.26078886320217</v>
      </c>
      <c r="J61" s="17">
        <f>SUM(J56:J60)</f>
        <v>-9.3239035181840464</v>
      </c>
      <c r="K61" s="17">
        <f t="shared" ref="K61:BD61" si="18">IF(K38&lt;=$H30,SUM(K56:K60),"")</f>
        <v>28.191674212687261</v>
      </c>
      <c r="L61" s="17">
        <f t="shared" si="18"/>
        <v>65.252239720280059</v>
      </c>
      <c r="M61" s="17">
        <f t="shared" si="18"/>
        <v>85.821392026731999</v>
      </c>
      <c r="N61" s="17">
        <f t="shared" si="18"/>
        <v>105.85981807595182</v>
      </c>
      <c r="O61" s="17">
        <f t="shared" si="18"/>
        <v>141.32505976736093</v>
      </c>
      <c r="P61" s="17">
        <f t="shared" si="18"/>
        <v>177.77126235233453</v>
      </c>
      <c r="Q61" s="17" t="str">
        <f t="shared" si="18"/>
        <v/>
      </c>
      <c r="R61" s="17" t="str">
        <f t="shared" si="18"/>
        <v/>
      </c>
      <c r="S61" s="17" t="str">
        <f t="shared" si="18"/>
        <v/>
      </c>
      <c r="T61" s="17" t="str">
        <f t="shared" si="18"/>
        <v/>
      </c>
      <c r="U61" s="17" t="str">
        <f t="shared" si="18"/>
        <v/>
      </c>
      <c r="V61" s="17" t="str">
        <f t="shared" si="18"/>
        <v/>
      </c>
      <c r="W61" s="17" t="str">
        <f t="shared" si="18"/>
        <v/>
      </c>
      <c r="X61" s="17" t="str">
        <f t="shared" si="18"/>
        <v/>
      </c>
      <c r="Y61" s="17" t="str">
        <f t="shared" si="18"/>
        <v/>
      </c>
      <c r="Z61" s="17" t="str">
        <f t="shared" si="18"/>
        <v/>
      </c>
      <c r="AA61" s="17" t="str">
        <f t="shared" si="18"/>
        <v/>
      </c>
      <c r="AB61" s="17" t="str">
        <f t="shared" si="18"/>
        <v/>
      </c>
      <c r="AC61" s="17" t="str">
        <f t="shared" si="18"/>
        <v/>
      </c>
      <c r="AD61" s="17" t="str">
        <f t="shared" si="18"/>
        <v/>
      </c>
      <c r="AE61" s="17" t="str">
        <f t="shared" si="18"/>
        <v/>
      </c>
      <c r="AF61" s="17" t="str">
        <f t="shared" si="18"/>
        <v/>
      </c>
      <c r="AG61" s="17" t="str">
        <f t="shared" si="18"/>
        <v/>
      </c>
      <c r="AH61" s="17" t="str">
        <f t="shared" si="18"/>
        <v/>
      </c>
      <c r="AI61" s="17" t="str">
        <f t="shared" si="18"/>
        <v/>
      </c>
      <c r="AJ61" s="17" t="str">
        <f t="shared" si="18"/>
        <v/>
      </c>
      <c r="AK61" s="17" t="str">
        <f t="shared" si="18"/>
        <v/>
      </c>
      <c r="AL61" s="17" t="str">
        <f t="shared" si="18"/>
        <v/>
      </c>
      <c r="AM61" s="17" t="str">
        <f t="shared" si="18"/>
        <v/>
      </c>
      <c r="AN61" s="17" t="str">
        <f t="shared" si="18"/>
        <v/>
      </c>
      <c r="AO61" s="17" t="str">
        <f t="shared" si="18"/>
        <v/>
      </c>
      <c r="AP61" s="17" t="str">
        <f t="shared" si="18"/>
        <v/>
      </c>
      <c r="AQ61" s="17" t="str">
        <f t="shared" si="18"/>
        <v/>
      </c>
      <c r="AR61" s="17" t="str">
        <f t="shared" si="18"/>
        <v/>
      </c>
      <c r="AS61" s="17" t="str">
        <f t="shared" si="18"/>
        <v/>
      </c>
      <c r="AT61" s="17" t="str">
        <f t="shared" si="18"/>
        <v/>
      </c>
      <c r="AU61" s="17" t="str">
        <f t="shared" si="18"/>
        <v/>
      </c>
      <c r="AV61" s="17" t="str">
        <f t="shared" si="18"/>
        <v/>
      </c>
      <c r="AW61" s="17" t="str">
        <f t="shared" si="18"/>
        <v/>
      </c>
      <c r="AX61" s="17" t="str">
        <f t="shared" si="18"/>
        <v/>
      </c>
      <c r="AY61" s="17" t="str">
        <f t="shared" si="18"/>
        <v/>
      </c>
      <c r="AZ61" s="17" t="str">
        <f t="shared" si="18"/>
        <v/>
      </c>
      <c r="BA61" s="17" t="str">
        <f t="shared" si="18"/>
        <v/>
      </c>
      <c r="BB61" s="17" t="str">
        <f t="shared" si="18"/>
        <v/>
      </c>
      <c r="BC61" s="17" t="str">
        <f t="shared" si="18"/>
        <v/>
      </c>
      <c r="BD61" s="17" t="str">
        <f t="shared" si="18"/>
        <v/>
      </c>
    </row>
    <row r="62" spans="1:56" s="3" customFormat="1" ht="15.75" thickTop="1">
      <c r="C62" s="4" t="s">
        <v>31</v>
      </c>
      <c r="F62" s="6"/>
      <c r="H62" s="13"/>
      <c r="I62" s="13"/>
      <c r="J62" s="13"/>
      <c r="K62" s="13"/>
      <c r="L62" s="13"/>
      <c r="M62" s="13"/>
      <c r="N62" s="13"/>
      <c r="O62" s="13"/>
    </row>
    <row r="63" spans="1:56" s="3" customFormat="1" ht="12" customHeight="1">
      <c r="A63" s="3" t="s">
        <v>19</v>
      </c>
      <c r="C63" s="2">
        <v>38</v>
      </c>
      <c r="D63" s="3" t="s">
        <v>8</v>
      </c>
      <c r="F63" s="6" t="s">
        <v>94</v>
      </c>
      <c r="H63" s="18"/>
      <c r="I63" s="15">
        <f>H66</f>
        <v>140.04038152316696</v>
      </c>
      <c r="J63" s="15">
        <f>I66</f>
        <v>126.87451858107897</v>
      </c>
      <c r="K63" s="15">
        <f t="shared" ref="K63:BD63" si="19">IF(K38&lt;=$H30,J66,"")</f>
        <v>112.65538660362395</v>
      </c>
      <c r="L63" s="15">
        <f t="shared" si="19"/>
        <v>97.298724067972543</v>
      </c>
      <c r="M63" s="15">
        <f t="shared" si="19"/>
        <v>80.713528529469002</v>
      </c>
      <c r="N63" s="15">
        <f t="shared" si="19"/>
        <v>62.801517347885166</v>
      </c>
      <c r="O63" s="15">
        <f t="shared" si="19"/>
        <v>43.45654527177463</v>
      </c>
      <c r="P63" s="15">
        <f t="shared" si="19"/>
        <v>22.563975429575294</v>
      </c>
      <c r="Q63" s="15" t="str">
        <f t="shared" si="19"/>
        <v/>
      </c>
      <c r="R63" s="15" t="str">
        <f t="shared" si="19"/>
        <v/>
      </c>
      <c r="S63" s="15" t="str">
        <f t="shared" si="19"/>
        <v/>
      </c>
      <c r="T63" s="15" t="str">
        <f t="shared" si="19"/>
        <v/>
      </c>
      <c r="U63" s="15" t="str">
        <f t="shared" si="19"/>
        <v/>
      </c>
      <c r="V63" s="15" t="str">
        <f t="shared" si="19"/>
        <v/>
      </c>
      <c r="W63" s="15" t="str">
        <f t="shared" si="19"/>
        <v/>
      </c>
      <c r="X63" s="15" t="str">
        <f t="shared" si="19"/>
        <v/>
      </c>
      <c r="Y63" s="15" t="str">
        <f t="shared" si="19"/>
        <v/>
      </c>
      <c r="Z63" s="15" t="str">
        <f t="shared" si="19"/>
        <v/>
      </c>
      <c r="AA63" s="15" t="str">
        <f t="shared" si="19"/>
        <v/>
      </c>
      <c r="AB63" s="15" t="str">
        <f t="shared" si="19"/>
        <v/>
      </c>
      <c r="AC63" s="15" t="str">
        <f t="shared" si="19"/>
        <v/>
      </c>
      <c r="AD63" s="15" t="str">
        <f t="shared" si="19"/>
        <v/>
      </c>
      <c r="AE63" s="15" t="str">
        <f t="shared" si="19"/>
        <v/>
      </c>
      <c r="AF63" s="15" t="str">
        <f t="shared" si="19"/>
        <v/>
      </c>
      <c r="AG63" s="15" t="str">
        <f t="shared" si="19"/>
        <v/>
      </c>
      <c r="AH63" s="15" t="str">
        <f t="shared" si="19"/>
        <v/>
      </c>
      <c r="AI63" s="15" t="str">
        <f t="shared" si="19"/>
        <v/>
      </c>
      <c r="AJ63" s="15" t="str">
        <f t="shared" si="19"/>
        <v/>
      </c>
      <c r="AK63" s="15" t="str">
        <f t="shared" si="19"/>
        <v/>
      </c>
      <c r="AL63" s="15" t="str">
        <f t="shared" si="19"/>
        <v/>
      </c>
      <c r="AM63" s="15" t="str">
        <f t="shared" si="19"/>
        <v/>
      </c>
      <c r="AN63" s="15" t="str">
        <f t="shared" si="19"/>
        <v/>
      </c>
      <c r="AO63" s="15" t="str">
        <f t="shared" si="19"/>
        <v/>
      </c>
      <c r="AP63" s="15" t="str">
        <f t="shared" si="19"/>
        <v/>
      </c>
      <c r="AQ63" s="15" t="str">
        <f t="shared" si="19"/>
        <v/>
      </c>
      <c r="AR63" s="15" t="str">
        <f t="shared" si="19"/>
        <v/>
      </c>
      <c r="AS63" s="15" t="str">
        <f t="shared" si="19"/>
        <v/>
      </c>
      <c r="AT63" s="15" t="str">
        <f t="shared" si="19"/>
        <v/>
      </c>
      <c r="AU63" s="15" t="str">
        <f t="shared" si="19"/>
        <v/>
      </c>
      <c r="AV63" s="15" t="str">
        <f t="shared" si="19"/>
        <v/>
      </c>
      <c r="AW63" s="15" t="str">
        <f t="shared" si="19"/>
        <v/>
      </c>
      <c r="AX63" s="15" t="str">
        <f t="shared" si="19"/>
        <v/>
      </c>
      <c r="AY63" s="15" t="str">
        <f t="shared" si="19"/>
        <v/>
      </c>
      <c r="AZ63" s="15" t="str">
        <f t="shared" si="19"/>
        <v/>
      </c>
      <c r="BA63" s="15" t="str">
        <f t="shared" si="19"/>
        <v/>
      </c>
      <c r="BB63" s="15" t="str">
        <f t="shared" si="19"/>
        <v/>
      </c>
      <c r="BC63" s="15" t="str">
        <f t="shared" si="19"/>
        <v/>
      </c>
      <c r="BD63" s="15" t="str">
        <f t="shared" si="19"/>
        <v/>
      </c>
    </row>
    <row r="64" spans="1:56" s="3" customFormat="1" ht="12" customHeight="1">
      <c r="A64" s="3" t="s">
        <v>19</v>
      </c>
      <c r="C64" s="2">
        <v>39</v>
      </c>
      <c r="D64" s="3" t="s">
        <v>6</v>
      </c>
      <c r="F64" s="6" t="s">
        <v>88</v>
      </c>
      <c r="H64" s="18"/>
      <c r="I64" s="13">
        <f>I54</f>
        <v>-124.42665180529015</v>
      </c>
      <c r="J64" s="13">
        <f>J54</f>
        <v>-23.543035495639067</v>
      </c>
      <c r="K64" s="13">
        <f t="shared" ref="K64:BD64" si="20">IF(K38&lt;=$H30,K54,"")</f>
        <v>12.835011677035856</v>
      </c>
      <c r="L64" s="13">
        <f t="shared" si="20"/>
        <v>48.667044181776525</v>
      </c>
      <c r="M64" s="13">
        <f t="shared" si="20"/>
        <v>67.909380845148178</v>
      </c>
      <c r="N64" s="13">
        <f t="shared" si="20"/>
        <v>86.514845999841299</v>
      </c>
      <c r="O64" s="13">
        <f t="shared" si="20"/>
        <v>120.43248992516158</v>
      </c>
      <c r="P64" s="13">
        <f t="shared" si="20"/>
        <v>155.20728692275924</v>
      </c>
      <c r="Q64" s="13" t="str">
        <f t="shared" si="20"/>
        <v/>
      </c>
      <c r="R64" s="13" t="str">
        <f t="shared" si="20"/>
        <v/>
      </c>
      <c r="S64" s="13" t="str">
        <f t="shared" si="20"/>
        <v/>
      </c>
      <c r="T64" s="13" t="str">
        <f t="shared" si="20"/>
        <v/>
      </c>
      <c r="U64" s="13" t="str">
        <f t="shared" si="20"/>
        <v/>
      </c>
      <c r="V64" s="13" t="str">
        <f t="shared" si="20"/>
        <v/>
      </c>
      <c r="W64" s="13" t="str">
        <f t="shared" si="20"/>
        <v/>
      </c>
      <c r="X64" s="13" t="str">
        <f t="shared" si="20"/>
        <v/>
      </c>
      <c r="Y64" s="13" t="str">
        <f t="shared" si="20"/>
        <v/>
      </c>
      <c r="Z64" s="13" t="str">
        <f t="shared" si="20"/>
        <v/>
      </c>
      <c r="AA64" s="13" t="str">
        <f t="shared" si="20"/>
        <v/>
      </c>
      <c r="AB64" s="13" t="str">
        <f t="shared" si="20"/>
        <v/>
      </c>
      <c r="AC64" s="13" t="str">
        <f t="shared" si="20"/>
        <v/>
      </c>
      <c r="AD64" s="13" t="str">
        <f t="shared" si="20"/>
        <v/>
      </c>
      <c r="AE64" s="13" t="str">
        <f t="shared" si="20"/>
        <v/>
      </c>
      <c r="AF64" s="13" t="str">
        <f t="shared" si="20"/>
        <v/>
      </c>
      <c r="AG64" s="13" t="str">
        <f t="shared" si="20"/>
        <v/>
      </c>
      <c r="AH64" s="13" t="str">
        <f t="shared" si="20"/>
        <v/>
      </c>
      <c r="AI64" s="13" t="str">
        <f t="shared" si="20"/>
        <v/>
      </c>
      <c r="AJ64" s="13" t="str">
        <f t="shared" si="20"/>
        <v/>
      </c>
      <c r="AK64" s="13" t="str">
        <f t="shared" si="20"/>
        <v/>
      </c>
      <c r="AL64" s="13" t="str">
        <f t="shared" si="20"/>
        <v/>
      </c>
      <c r="AM64" s="13" t="str">
        <f t="shared" si="20"/>
        <v/>
      </c>
      <c r="AN64" s="13" t="str">
        <f t="shared" si="20"/>
        <v/>
      </c>
      <c r="AO64" s="13" t="str">
        <f t="shared" si="20"/>
        <v/>
      </c>
      <c r="AP64" s="13" t="str">
        <f t="shared" si="20"/>
        <v/>
      </c>
      <c r="AQ64" s="13" t="str">
        <f t="shared" si="20"/>
        <v/>
      </c>
      <c r="AR64" s="13" t="str">
        <f t="shared" si="20"/>
        <v/>
      </c>
      <c r="AS64" s="13" t="str">
        <f t="shared" si="20"/>
        <v/>
      </c>
      <c r="AT64" s="13" t="str">
        <f t="shared" si="20"/>
        <v/>
      </c>
      <c r="AU64" s="13" t="str">
        <f t="shared" si="20"/>
        <v/>
      </c>
      <c r="AV64" s="13" t="str">
        <f t="shared" si="20"/>
        <v/>
      </c>
      <c r="AW64" s="13" t="str">
        <f t="shared" si="20"/>
        <v/>
      </c>
      <c r="AX64" s="13" t="str">
        <f t="shared" si="20"/>
        <v/>
      </c>
      <c r="AY64" s="13" t="str">
        <f t="shared" si="20"/>
        <v/>
      </c>
      <c r="AZ64" s="13" t="str">
        <f t="shared" si="20"/>
        <v/>
      </c>
      <c r="BA64" s="13" t="str">
        <f t="shared" si="20"/>
        <v/>
      </c>
      <c r="BB64" s="13" t="str">
        <f t="shared" si="20"/>
        <v/>
      </c>
      <c r="BC64" s="13" t="str">
        <f t="shared" si="20"/>
        <v/>
      </c>
      <c r="BD64" s="13" t="str">
        <f t="shared" si="20"/>
        <v/>
      </c>
    </row>
    <row r="65" spans="1:56" s="3" customFormat="1" ht="12" customHeight="1">
      <c r="A65" s="3" t="s">
        <v>19</v>
      </c>
      <c r="C65" s="2">
        <v>40</v>
      </c>
      <c r="D65" s="105" t="s">
        <v>62</v>
      </c>
      <c r="F65" s="6" t="s">
        <v>95</v>
      </c>
      <c r="H65" s="15">
        <f>-H61</f>
        <v>140.04038152316696</v>
      </c>
      <c r="I65" s="13">
        <f>-I61</f>
        <v>111.26078886320217</v>
      </c>
      <c r="J65" s="13">
        <f>-J61</f>
        <v>9.3239035181840464</v>
      </c>
      <c r="K65" s="13">
        <f t="shared" ref="K65:BD65" si="21">IF(K38&lt;=$H30,-K61,"")</f>
        <v>-28.191674212687261</v>
      </c>
      <c r="L65" s="13">
        <f t="shared" si="21"/>
        <v>-65.252239720280059</v>
      </c>
      <c r="M65" s="13">
        <f t="shared" si="21"/>
        <v>-85.821392026731999</v>
      </c>
      <c r="N65" s="13">
        <f t="shared" si="21"/>
        <v>-105.85981807595182</v>
      </c>
      <c r="O65" s="13">
        <f t="shared" si="21"/>
        <v>-141.32505976736093</v>
      </c>
      <c r="P65" s="13">
        <f t="shared" si="21"/>
        <v>-177.77126235233453</v>
      </c>
      <c r="Q65" s="13" t="str">
        <f t="shared" si="21"/>
        <v/>
      </c>
      <c r="R65" s="13" t="str">
        <f t="shared" si="21"/>
        <v/>
      </c>
      <c r="S65" s="13" t="str">
        <f t="shared" si="21"/>
        <v/>
      </c>
      <c r="T65" s="13" t="str">
        <f t="shared" si="21"/>
        <v/>
      </c>
      <c r="U65" s="13" t="str">
        <f t="shared" si="21"/>
        <v/>
      </c>
      <c r="V65" s="13" t="str">
        <f t="shared" si="21"/>
        <v/>
      </c>
      <c r="W65" s="13" t="str">
        <f t="shared" si="21"/>
        <v/>
      </c>
      <c r="X65" s="13" t="str">
        <f t="shared" si="21"/>
        <v/>
      </c>
      <c r="Y65" s="13" t="str">
        <f t="shared" si="21"/>
        <v/>
      </c>
      <c r="Z65" s="13" t="str">
        <f t="shared" si="21"/>
        <v/>
      </c>
      <c r="AA65" s="13" t="str">
        <f t="shared" si="21"/>
        <v/>
      </c>
      <c r="AB65" s="13" t="str">
        <f t="shared" si="21"/>
        <v/>
      </c>
      <c r="AC65" s="13" t="str">
        <f t="shared" si="21"/>
        <v/>
      </c>
      <c r="AD65" s="13" t="str">
        <f t="shared" si="21"/>
        <v/>
      </c>
      <c r="AE65" s="13" t="str">
        <f t="shared" si="21"/>
        <v/>
      </c>
      <c r="AF65" s="13" t="str">
        <f t="shared" si="21"/>
        <v/>
      </c>
      <c r="AG65" s="13" t="str">
        <f t="shared" si="21"/>
        <v/>
      </c>
      <c r="AH65" s="13" t="str">
        <f t="shared" si="21"/>
        <v/>
      </c>
      <c r="AI65" s="13" t="str">
        <f t="shared" si="21"/>
        <v/>
      </c>
      <c r="AJ65" s="13" t="str">
        <f t="shared" si="21"/>
        <v/>
      </c>
      <c r="AK65" s="13" t="str">
        <f t="shared" si="21"/>
        <v/>
      </c>
      <c r="AL65" s="13" t="str">
        <f t="shared" si="21"/>
        <v/>
      </c>
      <c r="AM65" s="13" t="str">
        <f t="shared" si="21"/>
        <v/>
      </c>
      <c r="AN65" s="13" t="str">
        <f t="shared" si="21"/>
        <v/>
      </c>
      <c r="AO65" s="13" t="str">
        <f t="shared" si="21"/>
        <v/>
      </c>
      <c r="AP65" s="13" t="str">
        <f t="shared" si="21"/>
        <v/>
      </c>
      <c r="AQ65" s="13" t="str">
        <f t="shared" si="21"/>
        <v/>
      </c>
      <c r="AR65" s="13" t="str">
        <f t="shared" si="21"/>
        <v/>
      </c>
      <c r="AS65" s="13" t="str">
        <f t="shared" si="21"/>
        <v/>
      </c>
      <c r="AT65" s="13" t="str">
        <f t="shared" si="21"/>
        <v/>
      </c>
      <c r="AU65" s="13" t="str">
        <f t="shared" si="21"/>
        <v/>
      </c>
      <c r="AV65" s="13" t="str">
        <f t="shared" si="21"/>
        <v/>
      </c>
      <c r="AW65" s="13" t="str">
        <f t="shared" si="21"/>
        <v/>
      </c>
      <c r="AX65" s="13" t="str">
        <f t="shared" si="21"/>
        <v/>
      </c>
      <c r="AY65" s="13" t="str">
        <f t="shared" si="21"/>
        <v/>
      </c>
      <c r="AZ65" s="13" t="str">
        <f t="shared" si="21"/>
        <v/>
      </c>
      <c r="BA65" s="13" t="str">
        <f t="shared" si="21"/>
        <v/>
      </c>
      <c r="BB65" s="13" t="str">
        <f t="shared" si="21"/>
        <v/>
      </c>
      <c r="BC65" s="13" t="str">
        <f t="shared" si="21"/>
        <v/>
      </c>
      <c r="BD65" s="13" t="str">
        <f t="shared" si="21"/>
        <v/>
      </c>
    </row>
    <row r="66" spans="1:56" s="3" customFormat="1" ht="12.75" customHeight="1" thickBot="1">
      <c r="A66" s="3" t="s">
        <v>19</v>
      </c>
      <c r="C66" s="2">
        <v>41</v>
      </c>
      <c r="D66" s="3" t="s">
        <v>9</v>
      </c>
      <c r="F66" s="6" t="s">
        <v>96</v>
      </c>
      <c r="H66" s="17">
        <f>SUM(H63:H65)</f>
        <v>140.04038152316696</v>
      </c>
      <c r="I66" s="17">
        <f>SUM(I63:I65)</f>
        <v>126.87451858107897</v>
      </c>
      <c r="J66" s="17">
        <f t="shared" ref="J66:BD66" si="22">IF(J38=$H30,ABS(SUM(J63:J65)),IF(J38&lt;$H30,SUM(J63:J65),""))</f>
        <v>112.65538660362395</v>
      </c>
      <c r="K66" s="17">
        <f t="shared" si="22"/>
        <v>97.298724067972543</v>
      </c>
      <c r="L66" s="17">
        <f t="shared" si="22"/>
        <v>80.713528529469002</v>
      </c>
      <c r="M66" s="17">
        <f t="shared" si="22"/>
        <v>62.801517347885166</v>
      </c>
      <c r="N66" s="17">
        <f t="shared" si="22"/>
        <v>43.45654527177463</v>
      </c>
      <c r="O66" s="17">
        <f t="shared" si="22"/>
        <v>22.563975429575294</v>
      </c>
      <c r="P66" s="17">
        <f t="shared" si="22"/>
        <v>0</v>
      </c>
      <c r="Q66" s="17" t="str">
        <f t="shared" si="22"/>
        <v/>
      </c>
      <c r="R66" s="17" t="str">
        <f t="shared" si="22"/>
        <v/>
      </c>
      <c r="S66" s="17" t="str">
        <f t="shared" si="22"/>
        <v/>
      </c>
      <c r="T66" s="17" t="str">
        <f t="shared" si="22"/>
        <v/>
      </c>
      <c r="U66" s="17" t="str">
        <f t="shared" si="22"/>
        <v/>
      </c>
      <c r="V66" s="17" t="str">
        <f t="shared" si="22"/>
        <v/>
      </c>
      <c r="W66" s="17" t="str">
        <f t="shared" si="22"/>
        <v/>
      </c>
      <c r="X66" s="17" t="str">
        <f t="shared" si="22"/>
        <v/>
      </c>
      <c r="Y66" s="17" t="str">
        <f t="shared" si="22"/>
        <v/>
      </c>
      <c r="Z66" s="17" t="str">
        <f t="shared" si="22"/>
        <v/>
      </c>
      <c r="AA66" s="17" t="str">
        <f t="shared" si="22"/>
        <v/>
      </c>
      <c r="AB66" s="17" t="str">
        <f t="shared" si="22"/>
        <v/>
      </c>
      <c r="AC66" s="17" t="str">
        <f t="shared" si="22"/>
        <v/>
      </c>
      <c r="AD66" s="17" t="str">
        <f t="shared" si="22"/>
        <v/>
      </c>
      <c r="AE66" s="17" t="str">
        <f t="shared" si="22"/>
        <v/>
      </c>
      <c r="AF66" s="17" t="str">
        <f t="shared" si="22"/>
        <v/>
      </c>
      <c r="AG66" s="17" t="str">
        <f t="shared" si="22"/>
        <v/>
      </c>
      <c r="AH66" s="17" t="str">
        <f t="shared" si="22"/>
        <v/>
      </c>
      <c r="AI66" s="17" t="str">
        <f t="shared" si="22"/>
        <v/>
      </c>
      <c r="AJ66" s="17" t="str">
        <f t="shared" si="22"/>
        <v/>
      </c>
      <c r="AK66" s="17" t="str">
        <f t="shared" si="22"/>
        <v/>
      </c>
      <c r="AL66" s="17" t="str">
        <f t="shared" si="22"/>
        <v/>
      </c>
      <c r="AM66" s="17" t="str">
        <f t="shared" si="22"/>
        <v/>
      </c>
      <c r="AN66" s="17" t="str">
        <f t="shared" si="22"/>
        <v/>
      </c>
      <c r="AO66" s="17" t="str">
        <f t="shared" si="22"/>
        <v/>
      </c>
      <c r="AP66" s="17" t="str">
        <f t="shared" si="22"/>
        <v/>
      </c>
      <c r="AQ66" s="17" t="str">
        <f t="shared" si="22"/>
        <v/>
      </c>
      <c r="AR66" s="17" t="str">
        <f t="shared" si="22"/>
        <v/>
      </c>
      <c r="AS66" s="17" t="str">
        <f t="shared" si="22"/>
        <v/>
      </c>
      <c r="AT66" s="17" t="str">
        <f t="shared" si="22"/>
        <v/>
      </c>
      <c r="AU66" s="17" t="str">
        <f t="shared" si="22"/>
        <v/>
      </c>
      <c r="AV66" s="17" t="str">
        <f t="shared" si="22"/>
        <v/>
      </c>
      <c r="AW66" s="17" t="str">
        <f t="shared" si="22"/>
        <v/>
      </c>
      <c r="AX66" s="17" t="str">
        <f t="shared" si="22"/>
        <v/>
      </c>
      <c r="AY66" s="17" t="str">
        <f t="shared" si="22"/>
        <v/>
      </c>
      <c r="AZ66" s="17" t="str">
        <f t="shared" si="22"/>
        <v/>
      </c>
      <c r="BA66" s="17" t="str">
        <f t="shared" si="22"/>
        <v/>
      </c>
      <c r="BB66" s="17" t="str">
        <f t="shared" si="22"/>
        <v/>
      </c>
      <c r="BC66" s="17" t="str">
        <f t="shared" si="22"/>
        <v/>
      </c>
      <c r="BD66" s="17" t="str">
        <f t="shared" si="22"/>
        <v/>
      </c>
    </row>
    <row r="67" spans="1:56" s="3" customFormat="1" ht="3" customHeight="1" thickTop="1">
      <c r="C67" s="2"/>
      <c r="F67" s="6"/>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row r="68" spans="1:56" s="3" customFormat="1" ht="12.75" customHeight="1" thickBot="1">
      <c r="A68" s="3" t="s">
        <v>19</v>
      </c>
      <c r="C68" s="2">
        <v>42</v>
      </c>
      <c r="D68" s="51" t="s">
        <v>27</v>
      </c>
      <c r="F68" s="6" t="s">
        <v>97</v>
      </c>
      <c r="H68" s="29">
        <f>H66/H44</f>
        <v>0.19999999999999996</v>
      </c>
      <c r="I68" s="29">
        <f>I66/I44</f>
        <v>0.19999999999999996</v>
      </c>
      <c r="J68" s="29">
        <f t="shared" ref="J68:BD68" si="23">IF(J38&lt;=$H30,IF(J38=$H30,"n/a",I66/I44),"")</f>
        <v>0.19999999999999996</v>
      </c>
      <c r="K68" s="29">
        <f t="shared" si="23"/>
        <v>0.19999999999999998</v>
      </c>
      <c r="L68" s="29">
        <f t="shared" si="23"/>
        <v>0.19999999999999998</v>
      </c>
      <c r="M68" s="29">
        <f t="shared" si="23"/>
        <v>0.19999999999999996</v>
      </c>
      <c r="N68" s="29">
        <f t="shared" si="23"/>
        <v>0.19999999999999987</v>
      </c>
      <c r="O68" s="29">
        <f t="shared" si="23"/>
        <v>0.19999999999999979</v>
      </c>
      <c r="P68" s="29" t="str">
        <f t="shared" si="23"/>
        <v>n/a</v>
      </c>
      <c r="Q68" s="29" t="str">
        <f t="shared" si="23"/>
        <v/>
      </c>
      <c r="R68" s="29" t="str">
        <f t="shared" si="23"/>
        <v/>
      </c>
      <c r="S68" s="29" t="str">
        <f t="shared" si="23"/>
        <v/>
      </c>
      <c r="T68" s="29" t="str">
        <f t="shared" si="23"/>
        <v/>
      </c>
      <c r="U68" s="29" t="str">
        <f t="shared" si="23"/>
        <v/>
      </c>
      <c r="V68" s="29" t="str">
        <f t="shared" si="23"/>
        <v/>
      </c>
      <c r="W68" s="29" t="str">
        <f t="shared" si="23"/>
        <v/>
      </c>
      <c r="X68" s="29" t="str">
        <f t="shared" si="23"/>
        <v/>
      </c>
      <c r="Y68" s="29" t="str">
        <f t="shared" si="23"/>
        <v/>
      </c>
      <c r="Z68" s="29" t="str">
        <f t="shared" si="23"/>
        <v/>
      </c>
      <c r="AA68" s="29" t="str">
        <f t="shared" si="23"/>
        <v/>
      </c>
      <c r="AB68" s="29" t="str">
        <f t="shared" si="23"/>
        <v/>
      </c>
      <c r="AC68" s="29" t="str">
        <f t="shared" si="23"/>
        <v/>
      </c>
      <c r="AD68" s="29" t="str">
        <f t="shared" si="23"/>
        <v/>
      </c>
      <c r="AE68" s="29" t="str">
        <f t="shared" si="23"/>
        <v/>
      </c>
      <c r="AF68" s="29" t="str">
        <f t="shared" si="23"/>
        <v/>
      </c>
      <c r="AG68" s="29" t="str">
        <f t="shared" si="23"/>
        <v/>
      </c>
      <c r="AH68" s="29" t="str">
        <f t="shared" si="23"/>
        <v/>
      </c>
      <c r="AI68" s="29" t="str">
        <f t="shared" si="23"/>
        <v/>
      </c>
      <c r="AJ68" s="29" t="str">
        <f t="shared" si="23"/>
        <v/>
      </c>
      <c r="AK68" s="29" t="str">
        <f t="shared" si="23"/>
        <v/>
      </c>
      <c r="AL68" s="29" t="str">
        <f t="shared" si="23"/>
        <v/>
      </c>
      <c r="AM68" s="29" t="str">
        <f t="shared" si="23"/>
        <v/>
      </c>
      <c r="AN68" s="29" t="str">
        <f t="shared" si="23"/>
        <v/>
      </c>
      <c r="AO68" s="29" t="str">
        <f t="shared" si="23"/>
        <v/>
      </c>
      <c r="AP68" s="29" t="str">
        <f t="shared" si="23"/>
        <v/>
      </c>
      <c r="AQ68" s="29" t="str">
        <f t="shared" si="23"/>
        <v/>
      </c>
      <c r="AR68" s="29" t="str">
        <f t="shared" si="23"/>
        <v/>
      </c>
      <c r="AS68" s="29" t="str">
        <f t="shared" si="23"/>
        <v/>
      </c>
      <c r="AT68" s="29" t="str">
        <f t="shared" si="23"/>
        <v/>
      </c>
      <c r="AU68" s="29" t="str">
        <f t="shared" si="23"/>
        <v/>
      </c>
      <c r="AV68" s="29" t="str">
        <f t="shared" si="23"/>
        <v/>
      </c>
      <c r="AW68" s="29" t="str">
        <f t="shared" si="23"/>
        <v/>
      </c>
      <c r="AX68" s="29" t="str">
        <f t="shared" si="23"/>
        <v/>
      </c>
      <c r="AY68" s="29" t="str">
        <f t="shared" si="23"/>
        <v/>
      </c>
      <c r="AZ68" s="29" t="str">
        <f t="shared" si="23"/>
        <v/>
      </c>
      <c r="BA68" s="29" t="str">
        <f t="shared" si="23"/>
        <v/>
      </c>
      <c r="BB68" s="29" t="str">
        <f t="shared" si="23"/>
        <v/>
      </c>
      <c r="BC68" s="29" t="str">
        <f t="shared" si="23"/>
        <v/>
      </c>
      <c r="BD68" s="29" t="str">
        <f t="shared" si="23"/>
        <v/>
      </c>
    </row>
    <row r="69" spans="1:56" s="3" customFormat="1" ht="6" customHeight="1" thickTop="1">
      <c r="C69" s="2"/>
      <c r="D69" s="51"/>
      <c r="F69" s="6"/>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row>
    <row r="70" spans="1:56" s="3" customFormat="1" ht="16.5" thickBot="1">
      <c r="C70" s="9" t="s">
        <v>54</v>
      </c>
      <c r="D70" s="10"/>
      <c r="E70" s="10"/>
      <c r="F70" s="11"/>
      <c r="H70" s="84">
        <f>NPV(H9,I54:BD54)/H65*1000</f>
        <v>486.5538861083686</v>
      </c>
      <c r="I70" s="31" t="s">
        <v>98</v>
      </c>
      <c r="J70" s="112"/>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row>
    <row r="71" spans="1:56" s="3" customFormat="1" ht="6" customHeight="1" thickTop="1">
      <c r="C71" s="74"/>
      <c r="F71" s="6"/>
      <c r="H71" s="73"/>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row>
    <row r="72" spans="1:56" ht="15">
      <c r="B72" s="134" t="s">
        <v>111</v>
      </c>
    </row>
    <row r="74" spans="1:56" ht="13.5" thickBot="1"/>
    <row r="75" spans="1:56" ht="84" customHeight="1" thickBot="1">
      <c r="B75" s="160" t="s">
        <v>73</v>
      </c>
      <c r="C75" s="158"/>
      <c r="D75" s="158"/>
      <c r="E75" s="158"/>
      <c r="F75" s="158"/>
      <c r="G75" s="158"/>
      <c r="H75" s="158"/>
      <c r="I75" s="158"/>
      <c r="J75" s="158"/>
      <c r="K75" s="158"/>
      <c r="L75" s="158"/>
      <c r="M75" s="158"/>
      <c r="N75" s="158"/>
      <c r="O75" s="158"/>
      <c r="P75" s="159"/>
    </row>
    <row r="76" spans="1:56" ht="21.75" thickBot="1">
      <c r="B76" s="46"/>
    </row>
    <row r="77" spans="1:56" ht="129.6" customHeight="1" thickBot="1">
      <c r="B77" s="157" t="s">
        <v>53</v>
      </c>
      <c r="C77" s="158"/>
      <c r="D77" s="158"/>
      <c r="E77" s="158"/>
      <c r="F77" s="158"/>
      <c r="G77" s="158"/>
      <c r="H77" s="158"/>
      <c r="I77" s="158"/>
      <c r="J77" s="158"/>
      <c r="K77" s="158"/>
      <c r="L77" s="158"/>
      <c r="M77" s="158"/>
      <c r="N77" s="158"/>
      <c r="O77" s="158"/>
      <c r="P77" s="159"/>
    </row>
  </sheetData>
  <mergeCells count="3">
    <mergeCell ref="B77:P77"/>
    <mergeCell ref="B75:P75"/>
    <mergeCell ref="B23:P23"/>
  </mergeCells>
  <pageMargins left="0.5" right="0.5" top="0.37" bottom="0.2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5912-F197-423C-BC33-D98BC625822D}">
  <sheetPr codeName="Sheet3">
    <pageSetUpPr autoPageBreaks="0"/>
  </sheetPr>
  <dimension ref="B4:V135"/>
  <sheetViews>
    <sheetView showGridLines="0" showRowColHeaders="0" topLeftCell="A3" workbookViewId="0"/>
  </sheetViews>
  <sheetFormatPr defaultRowHeight="12.75"/>
  <cols>
    <col min="1" max="1" width="2.7109375" customWidth="1"/>
    <col min="2" max="2" width="4.5703125" customWidth="1"/>
    <col min="3" max="3" width="0.85546875" style="137" customWidth="1"/>
    <col min="4" max="4" width="3.28515625" style="137" customWidth="1"/>
    <col min="5" max="5" width="23.28515625" style="137" customWidth="1"/>
    <col min="6" max="6" width="8" customWidth="1"/>
    <col min="7" max="22" width="7.85546875" customWidth="1"/>
  </cols>
  <sheetData>
    <row r="4" spans="2:22" ht="23.25">
      <c r="B4" s="152" t="s">
        <v>41</v>
      </c>
      <c r="C4" s="136"/>
      <c r="D4" s="136"/>
      <c r="E4" s="136"/>
      <c r="F4" s="142"/>
      <c r="G4" s="142"/>
      <c r="H4" s="142"/>
      <c r="I4" s="142"/>
      <c r="J4" s="146"/>
      <c r="K4" s="146"/>
      <c r="L4" s="146"/>
      <c r="M4" s="146"/>
      <c r="N4" s="146"/>
      <c r="O4" s="146"/>
      <c r="P4" s="146"/>
      <c r="Q4" s="146"/>
      <c r="R4" s="146"/>
      <c r="S4" s="146"/>
      <c r="T4" s="146"/>
      <c r="U4" s="147"/>
      <c r="V4" s="148"/>
    </row>
    <row r="5" spans="2:22" ht="9" customHeight="1"/>
    <row r="6" spans="2:22" ht="12" customHeight="1">
      <c r="B6" s="146"/>
      <c r="C6" s="136"/>
      <c r="D6" s="138" t="str">
        <f>"Trial Balances 0 - "&amp;IF('Peer Inside An EBITDA Multiple'!$H$30&lt;=4,'Peer Inside An EBITDA Multiple'!$H$30,5)</f>
        <v>Trial Balances 0 - 5</v>
      </c>
      <c r="E6" s="138"/>
      <c r="F6" s="143" t="s">
        <v>42</v>
      </c>
      <c r="G6" s="149">
        <v>0</v>
      </c>
      <c r="H6" s="149" t="s">
        <v>43</v>
      </c>
      <c r="I6" s="149" t="s">
        <v>44</v>
      </c>
      <c r="J6" s="149">
        <v>1</v>
      </c>
      <c r="K6" s="149" t="s">
        <v>43</v>
      </c>
      <c r="L6" s="149" t="s">
        <v>44</v>
      </c>
      <c r="M6" s="150">
        <f>+J6+1</f>
        <v>2</v>
      </c>
      <c r="N6" s="149" t="str">
        <f>IF(M6&lt;'Peer Inside An EBITDA Multiple'!$H$30,"Activity","")</f>
        <v>Activity</v>
      </c>
      <c r="O6" s="149" t="str">
        <f>IF(M6&lt;'Peer Inside An EBITDA Multiple'!$H$30,"Close","")</f>
        <v>Close</v>
      </c>
      <c r="P6" s="150">
        <f>IF(M6&lt;'Peer Inside An EBITDA Multiple'!$H$30,M6+1,"")</f>
        <v>3</v>
      </c>
      <c r="Q6" s="149" t="str">
        <f>IF(P6&lt;'Peer Inside An EBITDA Multiple'!$H$30,"Activity","")</f>
        <v>Activity</v>
      </c>
      <c r="R6" s="149" t="str">
        <f>IF(P6&lt;'Peer Inside An EBITDA Multiple'!$H$30,"Close","")</f>
        <v>Close</v>
      </c>
      <c r="S6" s="150">
        <f>IF(P6&lt;'Peer Inside An EBITDA Multiple'!$H$30,P6+1,"")</f>
        <v>4</v>
      </c>
      <c r="T6" s="149" t="str">
        <f>IF(S6&lt;'Peer Inside An EBITDA Multiple'!$H$30,"Activity","")</f>
        <v>Activity</v>
      </c>
      <c r="U6" s="149" t="str">
        <f>IF(S6&lt;'Peer Inside An EBITDA Multiple'!$H$30,"Close","")</f>
        <v>Close</v>
      </c>
      <c r="V6" s="150">
        <f>IF(S6&lt;'Peer Inside An EBITDA Multiple'!$H$30,S6+1,"")</f>
        <v>5</v>
      </c>
    </row>
    <row r="7" spans="2:22" ht="12" customHeight="1">
      <c r="B7" s="153">
        <f>+'Peer Inside An EBITDA Multiple'!C68+2</f>
        <v>44</v>
      </c>
      <c r="C7" s="136"/>
      <c r="D7" s="139" t="s">
        <v>1</v>
      </c>
      <c r="E7" s="136"/>
      <c r="F7" s="144" t="str">
        <f>"["&amp;'Peer Inside An EBITDA Multiple'!$C$39&amp;"]"</f>
        <v>[19]</v>
      </c>
      <c r="G7" s="146">
        <f>'Peer Inside An EBITDA Multiple'!H39</f>
        <v>700.2019076158349</v>
      </c>
      <c r="H7" s="146"/>
      <c r="I7" s="146"/>
      <c r="J7" s="146">
        <f>SUM(G7:I7)</f>
        <v>700.2019076158349</v>
      </c>
      <c r="K7" s="146"/>
      <c r="L7" s="146" t="str">
        <f>IF(M6&lt;'Peer Inside An EBITDA Multiple'!$H$30,"",IF(M6='Peer Inside An EBITDA Multiple'!$H$30,-J7,""))</f>
        <v/>
      </c>
      <c r="M7" s="146">
        <f>SUM(J7:L7)</f>
        <v>700.2019076158349</v>
      </c>
      <c r="N7" s="146"/>
      <c r="O7" s="146" t="str">
        <f>IF(3&lt;'Peer Inside An EBITDA Multiple'!$H$30,"",IF(3='Peer Inside An EBITDA Multiple'!$H$30,-M7,""))</f>
        <v/>
      </c>
      <c r="P7" s="146">
        <f>IF(3&lt;='Peer Inside An EBITDA Multiple'!$H$30,SUM(M7:O7),"")</f>
        <v>700.2019076158349</v>
      </c>
      <c r="Q7" s="146"/>
      <c r="R7" s="146" t="str">
        <f>IF(4&lt;'Peer Inside An EBITDA Multiple'!$H$30,"",IF(4='Peer Inside An EBITDA Multiple'!$H$30,-P7,""))</f>
        <v/>
      </c>
      <c r="S7" s="146">
        <f>IF(4&lt;='Peer Inside An EBITDA Multiple'!$H$30,SUM(P7:R7),"")</f>
        <v>700.2019076158349</v>
      </c>
      <c r="T7" s="146"/>
      <c r="U7" s="146" t="str">
        <f>IF(5&lt;'Peer Inside An EBITDA Multiple'!$H$30,"",IF(5='Peer Inside An EBITDA Multiple'!$H$30,-S7,""))</f>
        <v/>
      </c>
      <c r="V7" s="146">
        <f>IF(5&lt;='Peer Inside An EBITDA Multiple'!$H$30,SUM(S7:U7),"")</f>
        <v>700.2019076158349</v>
      </c>
    </row>
    <row r="8" spans="2:22" ht="12" customHeight="1">
      <c r="B8" s="153">
        <f t="shared" ref="B8:B17" si="0">B7+1</f>
        <v>45</v>
      </c>
      <c r="C8" s="136"/>
      <c r="D8" s="136" t="s">
        <v>45</v>
      </c>
      <c r="E8" s="136"/>
      <c r="F8" s="144" t="str">
        <f>"["&amp;TEXT(B8,"0")&amp;"]-["&amp;TEXT(B13,"0")&amp;"]"</f>
        <v>[45]-[50]</v>
      </c>
      <c r="G8" s="146"/>
      <c r="H8" s="146">
        <f>-H13</f>
        <v>-87.525238451979362</v>
      </c>
      <c r="I8" s="146" t="str">
        <f>IF(J6='Peer Inside An EBITDA Multiple'!$H$30,-I7,"")</f>
        <v/>
      </c>
      <c r="J8" s="146">
        <f>G8-H13</f>
        <v>-87.525238451979362</v>
      </c>
      <c r="K8" s="146">
        <f>IF(M6&lt;='Peer Inside An EBITDA Multiple'!$H$30,-K13,"")</f>
        <v>-87.525238451979362</v>
      </c>
      <c r="L8" s="146" t="str">
        <f>IF(M6='Peer Inside An EBITDA Multiple'!$H$30,-L7,"")</f>
        <v/>
      </c>
      <c r="M8" s="146">
        <f>IF(M6='Peer Inside An EBITDA Multiple'!$H$30,SUM(J8:L8),IF(M6&lt;='Peer Inside An EBITDA Multiple'!$H$30,J8-K13,""))</f>
        <v>-175.05047690395872</v>
      </c>
      <c r="N8" s="146">
        <f>IF(3&lt;='Peer Inside An EBITDA Multiple'!$H$30,-N13,"")</f>
        <v>-87.525238451979362</v>
      </c>
      <c r="O8" s="146" t="str">
        <f>IF(3='Peer Inside An EBITDA Multiple'!$H$30,-O7,"")</f>
        <v/>
      </c>
      <c r="P8" s="146">
        <f>IF(3='Peer Inside An EBITDA Multiple'!$H$30,SUM(M8:O8),IF(3&lt;='Peer Inside An EBITDA Multiple'!$H$30,M8-N13,""))</f>
        <v>-262.57571535593809</v>
      </c>
      <c r="Q8" s="146">
        <f>IF(4&lt;='Peer Inside An EBITDA Multiple'!$H$30,-Q13,"")</f>
        <v>-87.525238451979362</v>
      </c>
      <c r="R8" s="146" t="str">
        <f>IF(4='Peer Inside An EBITDA Multiple'!$H$30,-R7,"")</f>
        <v/>
      </c>
      <c r="S8" s="146">
        <f>IF(4='Peer Inside An EBITDA Multiple'!$H$30,SUM(P8:R8),IF(4&lt;='Peer Inside An EBITDA Multiple'!$H$30,P8-Q13,""))</f>
        <v>-350.10095380791745</v>
      </c>
      <c r="T8" s="146">
        <f>IF(5&lt;='Peer Inside An EBITDA Multiple'!$H$30,-T13,"")</f>
        <v>-87.525238451979362</v>
      </c>
      <c r="U8" s="146" t="str">
        <f>IF(5='Peer Inside An EBITDA Multiple'!$H$30,-U7,"")</f>
        <v/>
      </c>
      <c r="V8" s="146">
        <f>IF(5='Peer Inside An EBITDA Multiple'!$H$30,SUM(S8:U8),IF(5&lt;='Peer Inside An EBITDA Multiple'!$H$30,S8-T13,""))</f>
        <v>-437.62619225989681</v>
      </c>
    </row>
    <row r="9" spans="2:22" ht="12" customHeight="1">
      <c r="B9" s="153">
        <f t="shared" si="0"/>
        <v>46</v>
      </c>
      <c r="C9" s="136"/>
      <c r="D9" s="140" t="s">
        <v>15</v>
      </c>
      <c r="E9" s="136"/>
      <c r="F9" s="144" t="str">
        <f>"-SUM(["&amp;TEXT(B7,"0")&amp;"]:["&amp;TEXT(B8,"0")&amp;"],["&amp;TEXT(B10,"0")&amp;"]:["&amp;TEXT(B16,"0")&amp;"])"</f>
        <v>-SUM([44]:[45],[47]:[53])</v>
      </c>
      <c r="G9" s="146"/>
      <c r="H9" s="146">
        <f>-SUM(H7:H8,H10:H16)</f>
        <v>21.695923741539424</v>
      </c>
      <c r="I9" s="146"/>
      <c r="J9" s="146">
        <f t="shared" ref="J9:J16" si="1">SUM(G9:I9)</f>
        <v>21.695923741539424</v>
      </c>
      <c r="K9" s="146">
        <f>IF(M6&lt;='Peer Inside An EBITDA Multiple'!$H$30,-SUM(K7:K8,K10:K16),"")</f>
        <v>16.429578564704229</v>
      </c>
      <c r="L9" s="146"/>
      <c r="M9" s="146">
        <f>IF(M6='Peer Inside An EBITDA Multiple'!$H$30,ABS(SUM(J9:L9)),IF(M6&lt;'Peer Inside An EBITDA Multiple'!$H$30,SUM(J9:L9),""))</f>
        <v>38.125502306243654</v>
      </c>
      <c r="N9" s="146">
        <f>IF(3&lt;='Peer Inside An EBITDA Multiple'!$H$30,-SUM(N7:N8,N10:N16),"")</f>
        <v>10.741925773722304</v>
      </c>
      <c r="O9" s="146"/>
      <c r="P9" s="146">
        <f>IF(3='Peer Inside An EBITDA Multiple'!$H$30,ABS(SUM(M9:O9)),IF(3&lt;'Peer Inside An EBITDA Multiple'!$H$30,SUM(M9:O9),""))</f>
        <v>48.867428079965961</v>
      </c>
      <c r="Q9" s="146">
        <f>IF(4&lt;='Peer Inside An EBITDA Multiple'!$H$30,-SUM(Q7:Q8,Q10:Q16),"")</f>
        <v>4.599260759461659</v>
      </c>
      <c r="R9" s="146"/>
      <c r="S9" s="146">
        <f>IF(4='Peer Inside An EBITDA Multiple'!$H$30,ABS(SUM(P9:R9)),IF(4&lt;'Peer Inside An EBITDA Multiple'!$H$30,SUM(P9:R9),""))</f>
        <v>53.466688839427619</v>
      </c>
      <c r="T9" s="146">
        <f>IF(5&lt;='Peer Inside An EBITDA Multiple'!$H$30,-SUM(T7:T8,T10:T16),"")</f>
        <v>-2.0348174559397521</v>
      </c>
      <c r="U9" s="146"/>
      <c r="V9" s="146">
        <f>IF(5='Peer Inside An EBITDA Multiple'!$H$30,ABS(SUM(S9:U9)),IF(5&lt;'Peer Inside An EBITDA Multiple'!$H$30,SUM(S9:U9),""))</f>
        <v>51.431871383487866</v>
      </c>
    </row>
    <row r="10" spans="2:22" ht="12" customHeight="1">
      <c r="B10" s="153">
        <f t="shared" si="0"/>
        <v>47</v>
      </c>
      <c r="C10" s="136"/>
      <c r="D10" s="140" t="s">
        <v>46</v>
      </c>
      <c r="E10" s="136"/>
      <c r="F10" s="144" t="str">
        <f>"-["&amp;'Peer Inside An EBITDA Multiple'!$C$44&amp;"]*["&amp;'Peer Inside An EBITDA Multiple'!$C$10&amp;"]"</f>
        <v>-[24]*[3]</v>
      </c>
      <c r="G10" s="146">
        <f>-'Peer Inside An EBITDA Multiple'!H44*'Peer Inside An EBITDA Multiple'!H10</f>
        <v>-560.16152609266794</v>
      </c>
      <c r="H10" s="146">
        <f>-'Peer Inside An EBITDA Multiple'!I59</f>
        <v>52.663451768351933</v>
      </c>
      <c r="I10" s="146"/>
      <c r="J10" s="146">
        <f t="shared" si="1"/>
        <v>-507.49807432431601</v>
      </c>
      <c r="K10" s="146">
        <f>IF(M6&lt;='Peer Inside An EBITDA Multiple'!$H$30,-'Peer Inside An EBITDA Multiple'!J59,"")</f>
        <v>56.876527909820112</v>
      </c>
      <c r="L10" s="146"/>
      <c r="M10" s="146">
        <f>IF(M6='Peer Inside An EBITDA Multiple'!$H$30,ABS(SUM(J10:L10)),IF(M6&lt;'Peer Inside An EBITDA Multiple'!$H$30,SUM(J10:L10),""))</f>
        <v>-450.62154641449592</v>
      </c>
      <c r="N10" s="146">
        <f>IF(3&lt;='Peer Inside An EBITDA Multiple'!$H$30,-'Peer Inside An EBITDA Multiple'!K59,"")</f>
        <v>61.426650142605652</v>
      </c>
      <c r="O10" s="146"/>
      <c r="P10" s="146">
        <f>IF(3='Peer Inside An EBITDA Multiple'!$H$30,ABS(SUM(M10:O10)),IF(3&lt;'Peer Inside An EBITDA Multiple'!$H$30,SUM(M10:O10),""))</f>
        <v>-389.19489627189029</v>
      </c>
      <c r="Q10" s="146">
        <f>IF(4&lt;='Peer Inside An EBITDA Multiple'!$H$30,-'Peer Inside An EBITDA Multiple'!L59,"")</f>
        <v>66.34078215401415</v>
      </c>
      <c r="R10" s="146"/>
      <c r="S10" s="146">
        <f>IF(4='Peer Inside An EBITDA Multiple'!$H$30,ABS(SUM(P10:R10)),IF(4&lt;'Peer Inside An EBITDA Multiple'!$H$30,SUM(P10:R10),""))</f>
        <v>-322.85411411787612</v>
      </c>
      <c r="T10" s="146">
        <f>IF(5&lt;='Peer Inside An EBITDA Multiple'!$H$30,-'Peer Inside An EBITDA Multiple'!M59,"")</f>
        <v>71.648044726335272</v>
      </c>
      <c r="U10" s="146"/>
      <c r="V10" s="146">
        <f>IF(5='Peer Inside An EBITDA Multiple'!$H$30,ABS(SUM(S10:U10)),IF(5&lt;'Peer Inside An EBITDA Multiple'!$H$30,SUM(S10:U10),""))</f>
        <v>-251.20606939154084</v>
      </c>
    </row>
    <row r="11" spans="2:22" ht="12" customHeight="1">
      <c r="B11" s="153">
        <f t="shared" si="0"/>
        <v>48</v>
      </c>
      <c r="C11" s="136"/>
      <c r="D11" s="140" t="s">
        <v>47</v>
      </c>
      <c r="E11" s="136"/>
      <c r="F11" s="144" t="str">
        <f>"-["&amp;'Peer Inside An EBITDA Multiple'!$C$44&amp;"]*(1-["&amp;'Peer Inside An EBITDA Multiple'!$C$10&amp;"])"</f>
        <v>-[24]*(1-[3])</v>
      </c>
      <c r="G11" s="146">
        <f>-'Peer Inside An EBITDA Multiple'!H44*(1-'Peer Inside An EBITDA Multiple'!H10)</f>
        <v>-140.04038152316696</v>
      </c>
      <c r="H11" s="146">
        <f>J11-G11-I11</f>
        <v>-111.26078886320217</v>
      </c>
      <c r="I11" s="146">
        <f>-SUM(I12:I16)</f>
        <v>124.42665180529015</v>
      </c>
      <c r="J11" s="146">
        <f>-'Peer Inside An EBITDA Multiple'!I66</f>
        <v>-126.87451858107897</v>
      </c>
      <c r="K11" s="146">
        <f>IF(M6&lt;='Peer Inside An EBITDA Multiple'!$H$30,M11-J11-L11,"")</f>
        <v>-9.3239035181840535</v>
      </c>
      <c r="L11" s="146">
        <f>IF(M6&lt;='Peer Inside An EBITDA Multiple'!$H$30,-SUM(L12:L16),"")</f>
        <v>23.543035495639074</v>
      </c>
      <c r="M11" s="146">
        <f>IF(M6='Peer Inside An EBITDA Multiple'!$H$30,0,IF(M6&lt;'Peer Inside An EBITDA Multiple'!$H$30,-'Peer Inside An EBITDA Multiple'!J66,""))</f>
        <v>-112.65538660362395</v>
      </c>
      <c r="N11" s="146">
        <f>IF(3&lt;='Peer Inside An EBITDA Multiple'!$H$30,P11-M11-O11,"")</f>
        <v>28.191674212687264</v>
      </c>
      <c r="O11" s="146">
        <f>IF(3&lt;='Peer Inside An EBITDA Multiple'!$H$30,-SUM(O12:O16),"")</f>
        <v>-12.835011677035855</v>
      </c>
      <c r="P11" s="146">
        <f>IF(3='Peer Inside An EBITDA Multiple'!$H$30,0,IF(3&lt;'Peer Inside An EBITDA Multiple'!$H$30,-'Peer Inside An EBITDA Multiple'!K66,""))</f>
        <v>-97.298724067972543</v>
      </c>
      <c r="Q11" s="146">
        <f>IF(4&lt;='Peer Inside An EBITDA Multiple'!$H$30,S11-P11-R11,"")</f>
        <v>65.252239720280073</v>
      </c>
      <c r="R11" s="146">
        <f>IF(4&lt;='Peer Inside An EBITDA Multiple'!$H$30,-SUM(R12:R16),"")</f>
        <v>-48.667044181776525</v>
      </c>
      <c r="S11" s="146">
        <f>IF(4='Peer Inside An EBITDA Multiple'!$H$30,0,IF(4&lt;'Peer Inside An EBITDA Multiple'!$H$30,-'Peer Inside An EBITDA Multiple'!L66,""))</f>
        <v>-80.713528529469002</v>
      </c>
      <c r="T11" s="146">
        <f>IF(5&lt;='Peer Inside An EBITDA Multiple'!$H$30,V11-S11-U11,"")</f>
        <v>85.821392026732013</v>
      </c>
      <c r="U11" s="146">
        <f>IF(5&lt;='Peer Inside An EBITDA Multiple'!$H$30,-SUM(U12:U16),"")</f>
        <v>-67.909380845148178</v>
      </c>
      <c r="V11" s="146">
        <f>IF(5='Peer Inside An EBITDA Multiple'!$H$30,0,IF(5&lt;'Peer Inside An EBITDA Multiple'!$H$30,-'Peer Inside An EBITDA Multiple'!M66,""))</f>
        <v>-62.801517347885166</v>
      </c>
    </row>
    <row r="12" spans="2:22" ht="12" customHeight="1">
      <c r="B12" s="153">
        <f t="shared" si="0"/>
        <v>49</v>
      </c>
      <c r="C12" s="136"/>
      <c r="D12" s="139" t="s">
        <v>48</v>
      </c>
      <c r="E12" s="136"/>
      <c r="F12" s="144" t="str">
        <f>"["&amp;TEXT('Peer Inside An EBITDA Multiple'!$C$46,"0")&amp;"]"</f>
        <v>[25]</v>
      </c>
      <c r="G12" s="146"/>
      <c r="H12" s="146">
        <f>-'Peer Inside An EBITDA Multiple'!I49</f>
        <v>40</v>
      </c>
      <c r="I12" s="146">
        <f>-H12</f>
        <v>-40</v>
      </c>
      <c r="J12" s="146">
        <f t="shared" si="1"/>
        <v>0</v>
      </c>
      <c r="K12" s="146">
        <f>IF(M6&lt;='Peer Inside An EBITDA Multiple'!$H$30,-'Peer Inside An EBITDA Multiple'!J49,"")</f>
        <v>-80</v>
      </c>
      <c r="L12" s="146">
        <f>IF(M6&lt;='Peer Inside An EBITDA Multiple'!$H$30,-K12,"")</f>
        <v>80</v>
      </c>
      <c r="M12" s="146">
        <f>IF(M6&lt;='Peer Inside An EBITDA Multiple'!$H$30,SUM(J12:L12),"")</f>
        <v>0</v>
      </c>
      <c r="N12" s="146">
        <f>IF(3&lt;='Peer Inside An EBITDA Multiple'!$H$30,-'Peer Inside An EBITDA Multiple'!K49,"")</f>
        <v>-120</v>
      </c>
      <c r="O12" s="146">
        <f>IF(3&lt;='Peer Inside An EBITDA Multiple'!$H$30,-N12,"")</f>
        <v>120</v>
      </c>
      <c r="P12" s="146">
        <f>IF(3&lt;='Peer Inside An EBITDA Multiple'!$H$30,SUM(M12:O12),"")</f>
        <v>0</v>
      </c>
      <c r="Q12" s="146">
        <f>IF(4&lt;='Peer Inside An EBITDA Multiple'!$H$30,-'Peer Inside An EBITDA Multiple'!L49,"")</f>
        <v>-160</v>
      </c>
      <c r="R12" s="146">
        <f>IF(4&lt;='Peer Inside An EBITDA Multiple'!$H$30,-Q12,"")</f>
        <v>160</v>
      </c>
      <c r="S12" s="146">
        <f>IF(4&lt;='Peer Inside An EBITDA Multiple'!$H$30,SUM(P12:R12),"")</f>
        <v>0</v>
      </c>
      <c r="T12" s="146">
        <f>IF(5&lt;='Peer Inside An EBITDA Multiple'!$H$30,-'Peer Inside An EBITDA Multiple'!M49,"")</f>
        <v>-180</v>
      </c>
      <c r="U12" s="146">
        <f>IF(5&lt;='Peer Inside An EBITDA Multiple'!$H$30,-T12,"")</f>
        <v>180</v>
      </c>
      <c r="V12" s="146">
        <f>IF(5&lt;='Peer Inside An EBITDA Multiple'!$H$30,SUM(S12:U12),"")</f>
        <v>0</v>
      </c>
    </row>
    <row r="13" spans="2:22" ht="12" customHeight="1">
      <c r="B13" s="153">
        <f t="shared" si="0"/>
        <v>50</v>
      </c>
      <c r="C13" s="136"/>
      <c r="D13" s="136" t="s">
        <v>0</v>
      </c>
      <c r="E13" s="136"/>
      <c r="F13" s="144" t="str">
        <f>"["&amp;TEXT('Peer Inside An EBITDA Multiple'!$C$39,"0")&amp;"]/["&amp;'Peer Inside An EBITDA Multiple'!C$30&amp;"]"</f>
        <v>[19]/[15]</v>
      </c>
      <c r="G13" s="146"/>
      <c r="H13" s="146">
        <f>G7/'Peer Inside An EBITDA Multiple'!$H$30</f>
        <v>87.525238451979362</v>
      </c>
      <c r="I13" s="146">
        <f>-H13</f>
        <v>-87.525238451979362</v>
      </c>
      <c r="J13" s="146">
        <f t="shared" si="1"/>
        <v>0</v>
      </c>
      <c r="K13" s="146">
        <f>IF(M6&lt;='Peer Inside An EBITDA Multiple'!$H$30,H13,"")</f>
        <v>87.525238451979362</v>
      </c>
      <c r="L13" s="146">
        <f>IF(M6&lt;='Peer Inside An EBITDA Multiple'!$H$30,-K13,"")</f>
        <v>-87.525238451979362</v>
      </c>
      <c r="M13" s="146">
        <f>IF(M6&lt;='Peer Inside An EBITDA Multiple'!$H$30,SUM(J13:L13),"")</f>
        <v>0</v>
      </c>
      <c r="N13" s="146">
        <f>IF(3&lt;='Peer Inside An EBITDA Multiple'!$H$30,K13,"")</f>
        <v>87.525238451979362</v>
      </c>
      <c r="O13" s="146">
        <f>IF(3&lt;='Peer Inside An EBITDA Multiple'!$H$30,-N13,"")</f>
        <v>-87.525238451979362</v>
      </c>
      <c r="P13" s="146">
        <f>IF(3&lt;='Peer Inside An EBITDA Multiple'!$H$30,SUM(M13:O13),"")</f>
        <v>0</v>
      </c>
      <c r="Q13" s="146">
        <f>IF(4&lt;='Peer Inside An EBITDA Multiple'!$H$30,N13,"")</f>
        <v>87.525238451979362</v>
      </c>
      <c r="R13" s="146">
        <f>IF(4&lt;='Peer Inside An EBITDA Multiple'!$H$30,-Q13,"")</f>
        <v>-87.525238451979362</v>
      </c>
      <c r="S13" s="146">
        <f>IF(4&lt;='Peer Inside An EBITDA Multiple'!$H$30,SUM(P13:R13),"")</f>
        <v>0</v>
      </c>
      <c r="T13" s="146">
        <f>IF(5&lt;='Peer Inside An EBITDA Multiple'!$H$30,Q13,"")</f>
        <v>87.525238451979362</v>
      </c>
      <c r="U13" s="146">
        <f>IF(5&lt;='Peer Inside An EBITDA Multiple'!$H$30,-T13,"")</f>
        <v>-87.525238451979362</v>
      </c>
      <c r="V13" s="146">
        <f>IF(5&lt;='Peer Inside An EBITDA Multiple'!$H$30,SUM(S13:U13),"")</f>
        <v>0</v>
      </c>
    </row>
    <row r="14" spans="2:22" ht="12" customHeight="1">
      <c r="B14" s="153">
        <f t="shared" si="0"/>
        <v>51</v>
      </c>
      <c r="C14" s="136"/>
      <c r="D14" s="136" t="s">
        <v>2</v>
      </c>
      <c r="E14" s="136"/>
      <c r="F14" s="144" t="str">
        <f>"-["&amp;TEXT(B10,"0")&amp;"]*["&amp;TEXT('Peer Inside An EBITDA Multiple'!$C$11,"0")&amp;"]"</f>
        <v>-[47]*[4]</v>
      </c>
      <c r="G14" s="146"/>
      <c r="H14" s="146">
        <f>-G10*'Peer Inside An EBITDA Multiple'!$H$11</f>
        <v>28.008076304633398</v>
      </c>
      <c r="I14" s="146">
        <f>-H14</f>
        <v>-28.008076304633398</v>
      </c>
      <c r="J14" s="146">
        <f t="shared" si="1"/>
        <v>0</v>
      </c>
      <c r="K14" s="146">
        <f>IF(M6&lt;='Peer Inside An EBITDA Multiple'!$H$30,-J10*'Peer Inside An EBITDA Multiple'!$H$11,"")</f>
        <v>25.374903716215801</v>
      </c>
      <c r="L14" s="146">
        <f>IF(M6&lt;='Peer Inside An EBITDA Multiple'!$H$30,-K14,"")</f>
        <v>-25.374903716215801</v>
      </c>
      <c r="M14" s="146">
        <f>IF(M6&lt;='Peer Inside An EBITDA Multiple'!$H$30,SUM(J14:L14),"")</f>
        <v>0</v>
      </c>
      <c r="N14" s="146">
        <f>IF(3&lt;='Peer Inside An EBITDA Multiple'!$H$30,-M10*'Peer Inside An EBITDA Multiple'!$H$11,"")</f>
        <v>22.531077320724798</v>
      </c>
      <c r="O14" s="146">
        <f>IF(3&lt;='Peer Inside An EBITDA Multiple'!$H$30,-N14,"")</f>
        <v>-22.531077320724798</v>
      </c>
      <c r="P14" s="146">
        <f>IF(3&lt;='Peer Inside An EBITDA Multiple'!$H$30,SUM(M14:O14),"")</f>
        <v>0</v>
      </c>
      <c r="Q14" s="146">
        <f>IF(4&lt;='Peer Inside An EBITDA Multiple'!$H$30,-P10*'Peer Inside An EBITDA Multiple'!$H$11,"")</f>
        <v>19.459744813594515</v>
      </c>
      <c r="R14" s="146">
        <f>IF(4&lt;='Peer Inside An EBITDA Multiple'!$H$30,-Q14,"")</f>
        <v>-19.459744813594515</v>
      </c>
      <c r="S14" s="146">
        <f>IF(4&lt;='Peer Inside An EBITDA Multiple'!$H$30,SUM(P14:R14),"")</f>
        <v>0</v>
      </c>
      <c r="T14" s="146">
        <f>IF(5&lt;='Peer Inside An EBITDA Multiple'!$H$30,-S10*'Peer Inside An EBITDA Multiple'!$H$11,"")</f>
        <v>16.142705705893807</v>
      </c>
      <c r="U14" s="146">
        <f>IF(5&lt;='Peer Inside An EBITDA Multiple'!$H$30,-T14,"")</f>
        <v>-16.142705705893807</v>
      </c>
      <c r="V14" s="146">
        <f>IF(5&lt;='Peer Inside An EBITDA Multiple'!$H$30,SUM(S14:U14),"")</f>
        <v>0</v>
      </c>
    </row>
    <row r="15" spans="2:22" ht="12" customHeight="1">
      <c r="B15" s="153">
        <f t="shared" si="0"/>
        <v>52</v>
      </c>
      <c r="C15" s="136"/>
      <c r="D15" s="140" t="s">
        <v>16</v>
      </c>
      <c r="E15" s="136"/>
      <c r="F15" s="144" t="str">
        <f>"-["&amp;TEXT(B9,"0")&amp;"]*["&amp;'Peer Inside An EBITDA Multiple'!$C$9&amp;"]"</f>
        <v>-[46]*[2]</v>
      </c>
      <c r="G15" s="146"/>
      <c r="H15" s="146">
        <f>-G9*'Peer Inside An EBITDA Multiple'!$H9</f>
        <v>0</v>
      </c>
      <c r="I15" s="146">
        <f>-H15</f>
        <v>0</v>
      </c>
      <c r="J15" s="146">
        <f t="shared" si="1"/>
        <v>0</v>
      </c>
      <c r="K15" s="146">
        <f>IF(M6&lt;='Peer Inside An EBITDA Multiple'!$H$30,-J9*'Peer Inside An EBITDA Multiple'!$H9,"")</f>
        <v>-3.4713477986463079</v>
      </c>
      <c r="L15" s="146">
        <f>IF(M6&lt;='Peer Inside An EBITDA Multiple'!$H$30,-K15,"")</f>
        <v>3.4713477986463079</v>
      </c>
      <c r="M15" s="146">
        <f>IF(M6&lt;='Peer Inside An EBITDA Multiple'!$H$30,SUM(J15:L15),"")</f>
        <v>0</v>
      </c>
      <c r="N15" s="146">
        <f>IF(3&lt;='Peer Inside An EBITDA Multiple'!$H$30,-M9*'Peer Inside An EBITDA Multiple'!$H9,"")</f>
        <v>-6.1000803689989844</v>
      </c>
      <c r="O15" s="146">
        <f>IF(3&lt;='Peer Inside An EBITDA Multiple'!$H$30,-N15,"")</f>
        <v>6.1000803689989844</v>
      </c>
      <c r="P15" s="146">
        <f>IF(3&lt;='Peer Inside An EBITDA Multiple'!$H$30,SUM(M15:O15),"")</f>
        <v>0</v>
      </c>
      <c r="Q15" s="146">
        <f>IF(4&lt;='Peer Inside An EBITDA Multiple'!$H$30,-P9*'Peer Inside An EBITDA Multiple'!$H9,"")</f>
        <v>-7.8187884927945541</v>
      </c>
      <c r="R15" s="146">
        <f>IF(4&lt;='Peer Inside An EBITDA Multiple'!$H$30,-Q15,"")</f>
        <v>7.8187884927945541</v>
      </c>
      <c r="S15" s="146">
        <f>IF(4&lt;='Peer Inside An EBITDA Multiple'!$H$30,SUM(P15:R15),"")</f>
        <v>0</v>
      </c>
      <c r="T15" s="146">
        <f>IF(5&lt;='Peer Inside An EBITDA Multiple'!$H$30,-S9*'Peer Inside An EBITDA Multiple'!$H9,"")</f>
        <v>-8.5546702143084197</v>
      </c>
      <c r="U15" s="146">
        <f>IF(5&lt;='Peer Inside An EBITDA Multiple'!$H$30,-T15,"")</f>
        <v>8.5546702143084197</v>
      </c>
      <c r="V15" s="146">
        <f>IF(5&lt;='Peer Inside An EBITDA Multiple'!$H$30,SUM(S15:U15),"")</f>
        <v>0</v>
      </c>
    </row>
    <row r="16" spans="2:22" ht="12" customHeight="1">
      <c r="B16" s="153">
        <f t="shared" si="0"/>
        <v>53</v>
      </c>
      <c r="C16" s="136"/>
      <c r="D16" s="136" t="s">
        <v>3</v>
      </c>
      <c r="E16" s="136"/>
      <c r="F16" s="144" t="str">
        <f>"-SUM(["&amp;TEXT(B12,"0")&amp;"]:["&amp;TEXT(B15,"0")&amp;"])*["&amp;'Peer Inside An EBITDA Multiple'!$C$12&amp;"]"</f>
        <v>-SUM([49]:[52])*[5]</v>
      </c>
      <c r="G16" s="146"/>
      <c r="H16" s="146">
        <f>-SUM(H12:H15)*'Peer Inside An EBITDA Multiple'!$H$12</f>
        <v>-31.106662951322605</v>
      </c>
      <c r="I16" s="146">
        <f>-H16</f>
        <v>31.106662951322605</v>
      </c>
      <c r="J16" s="146">
        <f t="shared" si="1"/>
        <v>0</v>
      </c>
      <c r="K16" s="146">
        <f>IF(M6&lt;='Peer Inside An EBITDA Multiple'!$H$30,-SUM(K12:K15)*'Peer Inside An EBITDA Multiple'!$H$12,"")</f>
        <v>-5.885758873909781</v>
      </c>
      <c r="L16" s="146">
        <f>IF(M6&lt;='Peer Inside An EBITDA Multiple'!$H$30,-K16,"")</f>
        <v>5.885758873909781</v>
      </c>
      <c r="M16" s="146">
        <f>IF(M6&lt;='Peer Inside An EBITDA Multiple'!$H$30,SUM(J16:L16),"")</f>
        <v>0</v>
      </c>
      <c r="N16" s="146">
        <f>IF(3&lt;='Peer Inside An EBITDA Multiple'!$H$30,-SUM(N12:N15)*'Peer Inside An EBITDA Multiple'!$H$12,"")</f>
        <v>3.2087529192589703</v>
      </c>
      <c r="O16" s="146">
        <f>IF(3&lt;='Peer Inside An EBITDA Multiple'!$H$30,-N16,"")</f>
        <v>-3.2087529192589703</v>
      </c>
      <c r="P16" s="146">
        <f>IF(3&lt;='Peer Inside An EBITDA Multiple'!$H$30,SUM(M16:O16),"")</f>
        <v>0</v>
      </c>
      <c r="Q16" s="146">
        <f>IF(4&lt;='Peer Inside An EBITDA Multiple'!$H$30,-SUM(Q12:Q15)*'Peer Inside An EBITDA Multiple'!$H$12,"")</f>
        <v>12.166761045444156</v>
      </c>
      <c r="R16" s="146">
        <f>IF(4&lt;='Peer Inside An EBITDA Multiple'!$H$30,-Q16,"")</f>
        <v>-12.166761045444156</v>
      </c>
      <c r="S16" s="146">
        <f>IF(4&lt;='Peer Inside An EBITDA Multiple'!$H$30,SUM(P16:R16),"")</f>
        <v>0</v>
      </c>
      <c r="T16" s="146">
        <f>IF(5&lt;='Peer Inside An EBITDA Multiple'!$H$30,-SUM(T12:T15)*'Peer Inside An EBITDA Multiple'!$H$12,"")</f>
        <v>16.97734521128708</v>
      </c>
      <c r="U16" s="146">
        <f>IF(5&lt;='Peer Inside An EBITDA Multiple'!$H$30,-T16,"")</f>
        <v>-16.97734521128708</v>
      </c>
      <c r="V16" s="146">
        <f>IF(5&lt;='Peer Inside An EBITDA Multiple'!$H$30,SUM(S16:U16),"")</f>
        <v>0</v>
      </c>
    </row>
    <row r="17" spans="2:22" ht="12.75" customHeight="1" thickBot="1">
      <c r="B17" s="153">
        <f t="shared" si="0"/>
        <v>54</v>
      </c>
      <c r="C17" s="136"/>
      <c r="D17" s="136" t="s">
        <v>49</v>
      </c>
      <c r="E17" s="136"/>
      <c r="F17" s="144" t="str">
        <f>"SUM(["&amp;TEXT(B7,"0")&amp;"]:["&amp;TEXT(B16,"0")&amp;"])"</f>
        <v>SUM([44]:[53])</v>
      </c>
      <c r="G17" s="151">
        <f t="shared" ref="G17:L17" si="2">ABS(SUM(G7:G16))</f>
        <v>0</v>
      </c>
      <c r="H17" s="151">
        <f t="shared" si="2"/>
        <v>0</v>
      </c>
      <c r="I17" s="151">
        <f t="shared" si="2"/>
        <v>0</v>
      </c>
      <c r="J17" s="151">
        <f t="shared" si="2"/>
        <v>0</v>
      </c>
      <c r="K17" s="151">
        <f t="shared" si="2"/>
        <v>0</v>
      </c>
      <c r="L17" s="151">
        <f t="shared" si="2"/>
        <v>0</v>
      </c>
      <c r="M17" s="151">
        <f>IF(M6&lt;='Peer Inside An EBITDA Multiple'!$H$30,ABS(SUM(M7:M16)),"")</f>
        <v>2.8421709430404007E-14</v>
      </c>
      <c r="N17" s="151">
        <f>IF(P6&lt;='Peer Inside An EBITDA Multiple'!$H$30,ABS(SUM(N7:N16)),"")</f>
        <v>0</v>
      </c>
      <c r="O17" s="151">
        <f>IF(P6&lt;='Peer Inside An EBITDA Multiple'!$H$30,ABS(SUM(O7:O16)),"")</f>
        <v>0</v>
      </c>
      <c r="P17" s="151">
        <f>IF(P6&lt;='Peer Inside An EBITDA Multiple'!$H$30,ABS(SUM(P7:P16)),"")</f>
        <v>4.2632564145606011E-14</v>
      </c>
      <c r="Q17" s="151">
        <f>IF(S6&lt;='Peer Inside An EBITDA Multiple'!$H$30,ABS(SUM(Q7:Q16)),"")</f>
        <v>0</v>
      </c>
      <c r="R17" s="151">
        <f>IF(S6&lt;='Peer Inside An EBITDA Multiple'!$H$30,ABS(SUM(R7:R16)),"")</f>
        <v>0</v>
      </c>
      <c r="S17" s="151">
        <f>IF(S6&lt;='Peer Inside An EBITDA Multiple'!$H$30,ABS(SUM(S7:S16)),"")</f>
        <v>7.1054273576010019E-14</v>
      </c>
      <c r="T17" s="151">
        <f>IF(V6&lt;='Peer Inside An EBITDA Multiple'!$H$30,ABS(SUM(T7:T16)),"")</f>
        <v>0</v>
      </c>
      <c r="U17" s="151">
        <f>IF(V6&lt;='Peer Inside An EBITDA Multiple'!$H$30,ABS(SUM(U7:U16)),"")</f>
        <v>0</v>
      </c>
      <c r="V17" s="151">
        <f>IF(V6&lt;='Peer Inside An EBITDA Multiple'!$H$30,ABS(SUM(V7:V16)),"")</f>
        <v>4.2632564145606011E-14</v>
      </c>
    </row>
    <row r="18" spans="2:22" ht="9" customHeight="1" thickTop="1">
      <c r="B18" s="154"/>
      <c r="C18" s="141"/>
      <c r="D18" s="141"/>
      <c r="E18" s="136"/>
      <c r="F18" s="142"/>
      <c r="G18" s="142"/>
      <c r="H18" s="142"/>
      <c r="I18" s="142"/>
      <c r="J18" s="142"/>
      <c r="K18" s="142"/>
      <c r="L18" s="142"/>
      <c r="M18" s="142"/>
      <c r="N18" s="142"/>
      <c r="O18" s="142"/>
      <c r="P18" s="142"/>
      <c r="Q18" s="142"/>
      <c r="R18" s="142"/>
      <c r="S18" s="142"/>
      <c r="T18" s="142"/>
      <c r="U18" s="142"/>
      <c r="V18" s="142"/>
    </row>
    <row r="19" spans="2:22" ht="12" customHeight="1">
      <c r="B19" s="154"/>
      <c r="C19" s="136"/>
      <c r="D19" s="138" t="str">
        <f>IF('Peer Inside An EBITDA Multiple'!$H$30&gt;5,IF('Peer Inside An EBITDA Multiple'!$H$30=6,"Trial Balance 6","Trial Balances 6 - "&amp;IF('Peer Inside An EBITDA Multiple'!$H$30&lt;=9,'Peer Inside An EBITDA Multiple'!$H$30,"10")),"")</f>
        <v>Trial Balances 6 - 8</v>
      </c>
      <c r="E19" s="138"/>
      <c r="F19" s="143"/>
      <c r="G19" s="149">
        <f>IF(V6&lt;'Peer Inside An EBITDA Multiple'!$H$30,V6,"")</f>
        <v>5</v>
      </c>
      <c r="H19" s="149" t="str">
        <f>IF(G19&lt;'Peer Inside An EBITDA Multiple'!$H$30,"Activity","")</f>
        <v>Activity</v>
      </c>
      <c r="I19" s="149" t="str">
        <f>IF(G19&lt;'Peer Inside An EBITDA Multiple'!$H$30,"Close","")</f>
        <v>Close</v>
      </c>
      <c r="J19" s="150">
        <f>IF(G19&lt;'Peer Inside An EBITDA Multiple'!$H$30,G19+1,"")</f>
        <v>6</v>
      </c>
      <c r="K19" s="149" t="str">
        <f>IF(J19&lt;'Peer Inside An EBITDA Multiple'!$H$30,"Activity","")</f>
        <v>Activity</v>
      </c>
      <c r="L19" s="149" t="str">
        <f>IF(J19&lt;'Peer Inside An EBITDA Multiple'!$H$30,"Close","")</f>
        <v>Close</v>
      </c>
      <c r="M19" s="150">
        <f>IF(J19&lt;'Peer Inside An EBITDA Multiple'!$H$30,J19+1,"")</f>
        <v>7</v>
      </c>
      <c r="N19" s="149" t="str">
        <f>IF(M19&lt;'Peer Inside An EBITDA Multiple'!$H$30,"Activity","")</f>
        <v>Activity</v>
      </c>
      <c r="O19" s="149" t="str">
        <f>IF(M19&lt;'Peer Inside An EBITDA Multiple'!$H$30,"Close","")</f>
        <v>Close</v>
      </c>
      <c r="P19" s="150">
        <f>IF(M19&lt;'Peer Inside An EBITDA Multiple'!$H$30,M19+1,"")</f>
        <v>8</v>
      </c>
      <c r="Q19" s="149" t="str">
        <f>IF(P19&lt;'Peer Inside An EBITDA Multiple'!$H$30,"Activity","")</f>
        <v/>
      </c>
      <c r="R19" s="149" t="str">
        <f>IF(P19&lt;'Peer Inside An EBITDA Multiple'!$H$30,"Close","")</f>
        <v/>
      </c>
      <c r="S19" s="150" t="str">
        <f>IF(P19&lt;'Peer Inside An EBITDA Multiple'!$H$30,P19+1,"")</f>
        <v/>
      </c>
      <c r="T19" s="149" t="str">
        <f>IF(S19&lt;'Peer Inside An EBITDA Multiple'!$H$30,"Activity","")</f>
        <v/>
      </c>
      <c r="U19" s="149" t="str">
        <f>IF(S19&lt;'Peer Inside An EBITDA Multiple'!$H$30,"Close","")</f>
        <v/>
      </c>
      <c r="V19" s="150" t="str">
        <f>IF(S19&lt;'Peer Inside An EBITDA Multiple'!$H$30,S19+1,"")</f>
        <v/>
      </c>
    </row>
    <row r="20" spans="2:22" ht="12" customHeight="1">
      <c r="B20" s="153">
        <f>IF('Peer Inside An EBITDA Multiple'!$H$30&gt;5,B7+11,"")</f>
        <v>55</v>
      </c>
      <c r="C20" s="136"/>
      <c r="D20" s="139" t="str">
        <f>IF('Peer Inside An EBITDA Multiple'!$H$30&gt;5,D7,"")</f>
        <v>Asset Value</v>
      </c>
      <c r="E20" s="136"/>
      <c r="F20" s="145" t="str">
        <f>IF('Peer Inside An EBITDA Multiple'!$H$30&gt;5,"["&amp;'Peer Inside An EBITDA Multiple'!$C$39&amp;"]","")</f>
        <v>[19]</v>
      </c>
      <c r="G20" s="146">
        <f>IF('Peer Inside An EBITDA Multiple'!$H$30&gt;G19,V7,"")</f>
        <v>700.2019076158349</v>
      </c>
      <c r="H20" s="146"/>
      <c r="I20" s="146" t="str">
        <f>IF(6&lt;'Peer Inside An EBITDA Multiple'!$H$30,"",IF(6='Peer Inside An EBITDA Multiple'!$H$30,-G20,""))</f>
        <v/>
      </c>
      <c r="J20" s="146">
        <f>IF(6&lt;='Peer Inside An EBITDA Multiple'!$H$30,SUM(G20:I20),"")</f>
        <v>700.2019076158349</v>
      </c>
      <c r="K20" s="146"/>
      <c r="L20" s="146" t="str">
        <f>IF(7&lt;'Peer Inside An EBITDA Multiple'!$H$30,"",IF(7='Peer Inside An EBITDA Multiple'!$H$30,-J20,""))</f>
        <v/>
      </c>
      <c r="M20" s="146">
        <f>IF(7&lt;='Peer Inside An EBITDA Multiple'!$H$30,SUM(J20:L20),"")</f>
        <v>700.2019076158349</v>
      </c>
      <c r="N20" s="146"/>
      <c r="O20" s="146">
        <f>IF(8&lt;'Peer Inside An EBITDA Multiple'!$H$30,"",IF(8='Peer Inside An EBITDA Multiple'!$H$30,-M20,""))</f>
        <v>-700.2019076158349</v>
      </c>
      <c r="P20" s="146">
        <f>IF(8&lt;='Peer Inside An EBITDA Multiple'!$H$30,SUM(M20:O20),"")</f>
        <v>0</v>
      </c>
      <c r="R20" s="146" t="str">
        <f>IF(9&lt;'Peer Inside An EBITDA Multiple'!$H$30,"",IF(9='Peer Inside An EBITDA Multiple'!$H$30,-P20,""))</f>
        <v/>
      </c>
      <c r="S20" s="146" t="str">
        <f>IF(9&lt;='Peer Inside An EBITDA Multiple'!$H$30,SUM(P20:R20),"")</f>
        <v/>
      </c>
      <c r="U20" s="146" t="str">
        <f>IF(10&lt;'Peer Inside An EBITDA Multiple'!$H$30,"",IF(10='Peer Inside An EBITDA Multiple'!$H$30,-S20,""))</f>
        <v/>
      </c>
      <c r="V20" s="146" t="str">
        <f>IF(10&lt;='Peer Inside An EBITDA Multiple'!$H$30,SUM(S20:U20),"")</f>
        <v/>
      </c>
    </row>
    <row r="21" spans="2:22" ht="12" customHeight="1">
      <c r="B21" s="153">
        <f>IF('Peer Inside An EBITDA Multiple'!$H$30&gt;5,B8+11,"")</f>
        <v>56</v>
      </c>
      <c r="C21" s="136"/>
      <c r="D21" s="139" t="str">
        <f>IF('Peer Inside An EBITDA Multiple'!$H$30&gt;5,D8,"")</f>
        <v>Accumulated Depreciation</v>
      </c>
      <c r="E21" s="136"/>
      <c r="F21" s="144" t="str">
        <f>IF('Peer Inside An EBITDA Multiple'!$H$30&gt;5,"["&amp;TEXT(B21,"0")&amp;"]-["&amp;TEXT(B26,"0")&amp;"]","")</f>
        <v>[56]-[61]</v>
      </c>
      <c r="G21" s="146">
        <f>IF('Peer Inside An EBITDA Multiple'!$H$30&gt;G19,V8,"")</f>
        <v>-437.62619225989681</v>
      </c>
      <c r="H21" s="146">
        <f>IF(6&lt;='Peer Inside An EBITDA Multiple'!$H$30,-H26,"")</f>
        <v>-87.525238451979362</v>
      </c>
      <c r="I21" s="146" t="str">
        <f>IF(6='Peer Inside An EBITDA Multiple'!$H$30,-I20,"")</f>
        <v/>
      </c>
      <c r="J21" s="146">
        <f>IF(6='Peer Inside An EBITDA Multiple'!$H$30,SUM(G21:I21),IF(6&lt;='Peer Inside An EBITDA Multiple'!$H$30,G21-H26,""))</f>
        <v>-525.15143071187617</v>
      </c>
      <c r="K21" s="146">
        <f>IF(7&lt;='Peer Inside An EBITDA Multiple'!$H$30,-K26,"")</f>
        <v>-87.525238451979362</v>
      </c>
      <c r="L21" s="146" t="str">
        <f>IF(7='Peer Inside An EBITDA Multiple'!$H$30,-L20,"")</f>
        <v/>
      </c>
      <c r="M21" s="146">
        <f>IF(7='Peer Inside An EBITDA Multiple'!$H$30,SUM(J21:L21),IF(7&lt;='Peer Inside An EBITDA Multiple'!$H$30,J21-K26,""))</f>
        <v>-612.67666916385554</v>
      </c>
      <c r="N21" s="146">
        <f>IF(8&lt;='Peer Inside An EBITDA Multiple'!$H$30,-N26,"")</f>
        <v>-87.525238451979362</v>
      </c>
      <c r="O21" s="146">
        <f>IF(8='Peer Inside An EBITDA Multiple'!$H$30,-O20,"")</f>
        <v>700.2019076158349</v>
      </c>
      <c r="P21" s="146">
        <f>IF(8='Peer Inside An EBITDA Multiple'!$H$30,SUM(M21:O21),IF(8&lt;='Peer Inside An EBITDA Multiple'!$H$30,M21-N26,""))</f>
        <v>0</v>
      </c>
      <c r="Q21" s="146" t="str">
        <f>IF(9&lt;='Peer Inside An EBITDA Multiple'!$H$30,-Q26,"")</f>
        <v/>
      </c>
      <c r="R21" s="146" t="str">
        <f>IF(9='Peer Inside An EBITDA Multiple'!$H$30,-R20,"")</f>
        <v/>
      </c>
      <c r="S21" s="146" t="str">
        <f>IF(9='Peer Inside An EBITDA Multiple'!$H$30,SUM(P21:R21),IF(9&lt;='Peer Inside An EBITDA Multiple'!$H$30,P21-Q26,""))</f>
        <v/>
      </c>
      <c r="T21" s="146" t="str">
        <f>IF(10&lt;='Peer Inside An EBITDA Multiple'!$H$30,-T26,"")</f>
        <v/>
      </c>
      <c r="U21" s="146" t="str">
        <f>IF(10='Peer Inside An EBITDA Multiple'!$H$30,-U20,"")</f>
        <v/>
      </c>
      <c r="V21" s="146" t="str">
        <f>IF(10='Peer Inside An EBITDA Multiple'!$H$30,SUM(S21:U21),IF(10&lt;='Peer Inside An EBITDA Multiple'!$H$30,S21-T26,""))</f>
        <v/>
      </c>
    </row>
    <row r="22" spans="2:22" ht="12" customHeight="1">
      <c r="B22" s="153">
        <f>IF('Peer Inside An EBITDA Multiple'!$H$30&gt;5,B9+11,"")</f>
        <v>57</v>
      </c>
      <c r="C22" s="136"/>
      <c r="D22" s="139" t="str">
        <f>IF('Peer Inside An EBITDA Multiple'!$H$30&gt;5,D9,"")</f>
        <v>Cash</v>
      </c>
      <c r="E22" s="136"/>
      <c r="F22" s="144" t="str">
        <f>IF('Peer Inside An EBITDA Multiple'!$H$30&gt;5,"-SUM(["&amp;TEXT(B20,"0")&amp;"]:["&amp;TEXT(B21,"0")&amp;"],["&amp;TEXT(B23,"0")&amp;"]:["&amp;TEXT(B29,"0")&amp;"])","")</f>
        <v>-SUM([55]:[56],[58]:[64])</v>
      </c>
      <c r="G22" s="146">
        <f>IF('Peer Inside An EBITDA Multiple'!$H$30&gt;G19,V9,"")</f>
        <v>51.431871383487866</v>
      </c>
      <c r="H22" s="146">
        <f>IF(6&lt;='Peer Inside An EBITDA Multiple'!$H$30,-SUM(H20:H21,H23:H29),"")</f>
        <v>-9.1996219285732916</v>
      </c>
      <c r="I22" s="146"/>
      <c r="J22" s="146">
        <f>IF(6='Peer Inside An EBITDA Multiple'!$H$30,ABS(SUM(G22:I22)),IF(6&lt;'Peer Inside An EBITDA Multiple'!$H$30,SUM(G22:I22),""))</f>
        <v>42.232249454914573</v>
      </c>
      <c r="K22" s="146">
        <f>IF(7&lt;='Peer Inside An EBITDA Multiple'!$H$30,-SUM(K20:K21,K23:K29),"")</f>
        <v>-16.937610759017446</v>
      </c>
      <c r="L22" s="146"/>
      <c r="M22" s="146">
        <f>IF(7='Peer Inside An EBITDA Multiple'!$H$30,ABS(SUM(J22:L22)),IF(7&lt;'Peer Inside An EBITDA Multiple'!$H$30,SUM(J22:L22),""))</f>
        <v>25.294638695897127</v>
      </c>
      <c r="N22" s="146">
        <f>IF(8&lt;='Peer Inside An EBITDA Multiple'!$H$30,-SUM(N20:N21,N23:N29),"")</f>
        <v>-25.294638695897177</v>
      </c>
      <c r="O22" s="146"/>
      <c r="P22" s="146">
        <f>IF(8='Peer Inside An EBITDA Multiple'!$H$30,ABS(SUM(M22:O22)),IF(8&lt;'Peer Inside An EBITDA Multiple'!$H$30,SUM(M22:O22),""))</f>
        <v>4.9737991503207013E-14</v>
      </c>
      <c r="Q22" s="146" t="str">
        <f>IF(9&lt;='Peer Inside An EBITDA Multiple'!$H$30,-SUM(Q20:Q21,Q23:Q29),"")</f>
        <v/>
      </c>
      <c r="S22" s="146" t="str">
        <f>IF(9='Peer Inside An EBITDA Multiple'!$H$30,ABS(SUM(P22:R22)),IF(9&lt;'Peer Inside An EBITDA Multiple'!$H$30,SUM(P22:R22),""))</f>
        <v/>
      </c>
      <c r="T22" s="146" t="str">
        <f>IF(10&lt;='Peer Inside An EBITDA Multiple'!$H$30,-SUM(T20:T21,T23:T29),"")</f>
        <v/>
      </c>
      <c r="V22" s="146" t="str">
        <f>IF(10='Peer Inside An EBITDA Multiple'!$H$30,ABS(SUM(S22:U22)),IF(10&lt;'Peer Inside An EBITDA Multiple'!$H$30,SUM(S22:U22),""))</f>
        <v/>
      </c>
    </row>
    <row r="23" spans="2:22" ht="12" customHeight="1">
      <c r="B23" s="153">
        <f>IF('Peer Inside An EBITDA Multiple'!$H$30&gt;5,B10+11,"")</f>
        <v>58</v>
      </c>
      <c r="C23" s="136"/>
      <c r="D23" s="139" t="str">
        <f>IF('Peer Inside An EBITDA Multiple'!$H$30&gt;5,D10,"")</f>
        <v>Debt</v>
      </c>
      <c r="E23" s="136"/>
      <c r="F23" s="144" t="str">
        <f>IF('Peer Inside An EBITDA Multiple'!$H$30&gt;5,"-["&amp;'Peer Inside An EBITDA Multiple'!$C$44&amp;"]*["&amp;'Peer Inside An EBITDA Multiple'!$C$10&amp;"]","")</f>
        <v>-[24]*[3]</v>
      </c>
      <c r="G23" s="146">
        <f>IF('Peer Inside An EBITDA Multiple'!$H$30&gt;G19,V10,"")</f>
        <v>-251.20606939154084</v>
      </c>
      <c r="H23" s="146">
        <f>IF(6&lt;='Peer Inside An EBITDA Multiple'!$H$30,-'Peer Inside An EBITDA Multiple'!N$59,"")</f>
        <v>77.379888304442105</v>
      </c>
      <c r="I23" s="146"/>
      <c r="J23" s="146">
        <f>IF(6='Peer Inside An EBITDA Multiple'!$H$30,ABS(SUM(G23:I23)),IF(6&lt;'Peer Inside An EBITDA Multiple'!$H$30,SUM(G23:I23),""))</f>
        <v>-173.82618108709875</v>
      </c>
      <c r="K23" s="146">
        <f>IF(7&lt;='Peer Inside An EBITDA Multiple'!$H$30,-'Peer Inside An EBITDA Multiple'!O59,"")</f>
        <v>83.570279368797458</v>
      </c>
      <c r="L23" s="146"/>
      <c r="M23" s="146">
        <f>IF(7='Peer Inside An EBITDA Multiple'!$H$30,ABS(SUM(J23:L23)),IF(7&lt;'Peer Inside An EBITDA Multiple'!$H$30,SUM(J23:L23),""))</f>
        <v>-90.255901718301288</v>
      </c>
      <c r="N23" s="146">
        <f>IF(8&lt;='Peer Inside An EBITDA Multiple'!$H$30,-'Peer Inside An EBITDA Multiple'!P59,"")</f>
        <v>90.255901718301246</v>
      </c>
      <c r="O23" s="146"/>
      <c r="P23" s="146">
        <f>IF(8='Peer Inside An EBITDA Multiple'!$H$30,ABS(SUM(M23:O23)),IF(8&lt;'Peer Inside An EBITDA Multiple'!$H$30,SUM(M23:O23),""))</f>
        <v>0</v>
      </c>
      <c r="Q23" s="146" t="str">
        <f>IF(9&lt;='Peer Inside An EBITDA Multiple'!$H$30,-'Peer Inside An EBITDA Multiple'!Q59,"")</f>
        <v/>
      </c>
      <c r="S23" s="146" t="str">
        <f>IF(9='Peer Inside An EBITDA Multiple'!$H$30,ABS(SUM(P23:R23)),IF(9&lt;'Peer Inside An EBITDA Multiple'!$H$30,SUM(P23:R23),""))</f>
        <v/>
      </c>
      <c r="T23" s="146" t="str">
        <f>IF(10&lt;='Peer Inside An EBITDA Multiple'!$H$30,-'Peer Inside An EBITDA Multiple'!R59,"")</f>
        <v/>
      </c>
      <c r="V23" s="146" t="str">
        <f>IF(10='Peer Inside An EBITDA Multiple'!$H$30,ABS(SUM(S23:U23)),IF(10&lt;'Peer Inside An EBITDA Multiple'!$H$30,SUM(S23:U23),""))</f>
        <v/>
      </c>
    </row>
    <row r="24" spans="2:22" ht="12" customHeight="1">
      <c r="B24" s="153">
        <f>IF('Peer Inside An EBITDA Multiple'!$H$30&gt;5,B11+11,"")</f>
        <v>59</v>
      </c>
      <c r="C24" s="136"/>
      <c r="D24" s="139" t="str">
        <f>IF('Peer Inside An EBITDA Multiple'!$H$30&gt;5,D11,"")</f>
        <v>Equity</v>
      </c>
      <c r="E24" s="136"/>
      <c r="F24" s="144" t="str">
        <f>IF('Peer Inside An EBITDA Multiple'!$H$30&gt;5,"-["&amp;'Peer Inside An EBITDA Multiple'!$C$44&amp;"]*(1-["&amp;'Peer Inside An EBITDA Multiple'!$C$10&amp;"])","")</f>
        <v>-[24]*(1-[3])</v>
      </c>
      <c r="G24" s="146">
        <f>IF('Peer Inside An EBITDA Multiple'!$H$30&gt;G19,V11,"")</f>
        <v>-62.801517347885166</v>
      </c>
      <c r="H24" s="146">
        <f>IF(6&lt;='Peer Inside An EBITDA Multiple'!$H$30,J24-G24-I24,"")</f>
        <v>105.85981807595184</v>
      </c>
      <c r="I24" s="146">
        <f>IF(6&lt;='Peer Inside An EBITDA Multiple'!$H$30,-SUM(I25:I29),"")</f>
        <v>-86.514845999841299</v>
      </c>
      <c r="J24" s="146">
        <f>IF(6='Peer Inside An EBITDA Multiple'!$H$30,0,IF(6&lt;'Peer Inside An EBITDA Multiple'!$H$30,-'Peer Inside An EBITDA Multiple'!N66,""))</f>
        <v>-43.45654527177463</v>
      </c>
      <c r="K24" s="146">
        <f>IF(7&lt;='Peer Inside An EBITDA Multiple'!$H$30,M24-J24-L24,"")</f>
        <v>141.32505976736093</v>
      </c>
      <c r="L24" s="146">
        <f>IF(7&lt;='Peer Inside An EBITDA Multiple'!$H$30,-SUM(L25:L29),"")</f>
        <v>-120.43248992516158</v>
      </c>
      <c r="M24" s="146">
        <f>IF(7='Peer Inside An EBITDA Multiple'!$H$30,0,IF(7&lt;'Peer Inside An EBITDA Multiple'!$H$30,-'Peer Inside An EBITDA Multiple'!O66,""))</f>
        <v>-22.563975429575294</v>
      </c>
      <c r="N24" s="146">
        <f>IF(8&lt;='Peer Inside An EBITDA Multiple'!$H$30,P24-M24-O24,"")</f>
        <v>177.77126235233453</v>
      </c>
      <c r="O24" s="146">
        <f>IF(8&lt;='Peer Inside An EBITDA Multiple'!$H$30,-SUM(O25:O29),"")</f>
        <v>-155.20728692275924</v>
      </c>
      <c r="P24" s="146">
        <f>IF(8='Peer Inside An EBITDA Multiple'!$H$30,0,IF(8&lt;'Peer Inside An EBITDA Multiple'!$H$30,-'Peer Inside An EBITDA Multiple'!P66,""))</f>
        <v>0</v>
      </c>
      <c r="Q24" s="146" t="str">
        <f>IF(9&lt;='Peer Inside An EBITDA Multiple'!$H$30,S24-P24-R24,"")</f>
        <v/>
      </c>
      <c r="R24" s="146" t="str">
        <f>IF(9&lt;='Peer Inside An EBITDA Multiple'!$H$30,-SUM(R25:R29),"")</f>
        <v/>
      </c>
      <c r="S24" s="146" t="str">
        <f>IF(9='Peer Inside An EBITDA Multiple'!$H$30,0,IF(9&lt;'Peer Inside An EBITDA Multiple'!$H$30,-'Peer Inside An EBITDA Multiple'!Q66,""))</f>
        <v/>
      </c>
      <c r="T24" s="146" t="str">
        <f>IF(10&lt;='Peer Inside An EBITDA Multiple'!$H$30,V24-S24-U24,"")</f>
        <v/>
      </c>
      <c r="U24" s="146" t="str">
        <f>IF(10&lt;='Peer Inside An EBITDA Multiple'!$H$30,-SUM(U25:U29),"")</f>
        <v/>
      </c>
      <c r="V24" s="146" t="str">
        <f>IF(10='Peer Inside An EBITDA Multiple'!$H$30,0,IF(10&lt;'Peer Inside An EBITDA Multiple'!$H$30,-'Peer Inside An EBITDA Multiple'!R66,""))</f>
        <v/>
      </c>
    </row>
    <row r="25" spans="2:22" ht="12" customHeight="1">
      <c r="B25" s="153">
        <f>IF('Peer Inside An EBITDA Multiple'!$H$30&gt;5,B12+11,"")</f>
        <v>60</v>
      </c>
      <c r="C25" s="136"/>
      <c r="D25" s="139" t="str">
        <f>IF('Peer Inside An EBITDA Multiple'!$H$30&gt;5,D12,"")</f>
        <v>Operating Performance</v>
      </c>
      <c r="E25" s="136"/>
      <c r="F25" s="144" t="str">
        <f>IF('Peer Inside An EBITDA Multiple'!$H$30&gt;5,"["&amp;TEXT('Peer Inside An EBITDA Multiple'!$C$46,"0")&amp;"]","")</f>
        <v>[25]</v>
      </c>
      <c r="G25" s="146">
        <f>IF('Peer Inside An EBITDA Multiple'!$H$30&gt;G19,V12,"")</f>
        <v>0</v>
      </c>
      <c r="H25" s="146">
        <f>IF(6&lt;='Peer Inside An EBITDA Multiple'!$H$30,-'Peer Inside An EBITDA Multiple'!N49,"")</f>
        <v>-200</v>
      </c>
      <c r="I25" s="146">
        <f>IF(6&lt;='Peer Inside An EBITDA Multiple'!$H$30,-H25,"")</f>
        <v>200</v>
      </c>
      <c r="J25" s="146">
        <f>IF(6&lt;='Peer Inside An EBITDA Multiple'!$H$30,SUM(G25:I25),"")</f>
        <v>0</v>
      </c>
      <c r="K25" s="146">
        <f>IF(7&lt;='Peer Inside An EBITDA Multiple'!$H$30,-'Peer Inside An EBITDA Multiple'!O49,"")</f>
        <v>-240</v>
      </c>
      <c r="L25" s="146">
        <f>IF(7&lt;='Peer Inside An EBITDA Multiple'!$H$30,-K25,"")</f>
        <v>240</v>
      </c>
      <c r="M25" s="146">
        <f>IF(7&lt;='Peer Inside An EBITDA Multiple'!$H$30,SUM(J25:L25),"")</f>
        <v>0</v>
      </c>
      <c r="N25" s="146">
        <f>IF(8&lt;='Peer Inside An EBITDA Multiple'!$H$30,-'Peer Inside An EBITDA Multiple'!P49,"")</f>
        <v>-282</v>
      </c>
      <c r="O25" s="146">
        <f>IF(8&lt;='Peer Inside An EBITDA Multiple'!$H$30,-N25,"")</f>
        <v>282</v>
      </c>
      <c r="P25" s="146">
        <f>IF(8&lt;='Peer Inside An EBITDA Multiple'!$H$30,SUM(M25:O25),"")</f>
        <v>0</v>
      </c>
      <c r="Q25" s="146" t="str">
        <f>IF(9&lt;='Peer Inside An EBITDA Multiple'!$H$30,-'Peer Inside An EBITDA Multiple'!Q49,"")</f>
        <v/>
      </c>
      <c r="R25" s="146" t="str">
        <f>IF(9&lt;='Peer Inside An EBITDA Multiple'!$H$30,-Q25,"")</f>
        <v/>
      </c>
      <c r="S25" s="146" t="str">
        <f>IF(9&lt;='Peer Inside An EBITDA Multiple'!$H$30,SUM(P25:R25),"")</f>
        <v/>
      </c>
      <c r="T25" s="146" t="str">
        <f>IF(10&lt;='Peer Inside An EBITDA Multiple'!$H$30,-'Peer Inside An EBITDA Multiple'!R49,"")</f>
        <v/>
      </c>
      <c r="U25" s="146" t="str">
        <f>IF(10&lt;='Peer Inside An EBITDA Multiple'!$H$30,-T25,"")</f>
        <v/>
      </c>
      <c r="V25" s="146" t="str">
        <f>IF(10&lt;='Peer Inside An EBITDA Multiple'!$H$30,SUM(S25:U25),"")</f>
        <v/>
      </c>
    </row>
    <row r="26" spans="2:22" ht="12" customHeight="1">
      <c r="B26" s="153">
        <f>IF('Peer Inside An EBITDA Multiple'!$H$30&gt;5,B13+11,"")</f>
        <v>61</v>
      </c>
      <c r="C26" s="136"/>
      <c r="D26" s="139" t="str">
        <f>IF('Peer Inside An EBITDA Multiple'!$H$30&gt;5,D13,"")</f>
        <v>Depreciation</v>
      </c>
      <c r="E26" s="136"/>
      <c r="F26" s="144" t="str">
        <f>IF('Peer Inside An EBITDA Multiple'!$H$30&gt;5,"["&amp;TEXT('Peer Inside An EBITDA Multiple'!$C$39,"0")&amp;"]/["&amp;'Peer Inside An EBITDA Multiple'!C$30&amp;"]","")</f>
        <v>[19]/[15]</v>
      </c>
      <c r="G26" s="146">
        <f>IF('Peer Inside An EBITDA Multiple'!$H$30&gt;G19,V13,"")</f>
        <v>0</v>
      </c>
      <c r="H26" s="146">
        <f>IF(6&lt;='Peer Inside An EBITDA Multiple'!$H$30,T13,"")</f>
        <v>87.525238451979362</v>
      </c>
      <c r="I26" s="146">
        <f>IF(6&lt;='Peer Inside An EBITDA Multiple'!$H$30,-H26,"")</f>
        <v>-87.525238451979362</v>
      </c>
      <c r="J26" s="146">
        <f>IF(6&lt;='Peer Inside An EBITDA Multiple'!$H$30,SUM(G26:I26),"")</f>
        <v>0</v>
      </c>
      <c r="K26" s="146">
        <f>IF(7&lt;='Peer Inside An EBITDA Multiple'!$H$30,H26,"")</f>
        <v>87.525238451979362</v>
      </c>
      <c r="L26" s="146">
        <f>IF(7&lt;='Peer Inside An EBITDA Multiple'!$H$30,-K26,"")</f>
        <v>-87.525238451979362</v>
      </c>
      <c r="M26" s="146">
        <f>IF(7&lt;='Peer Inside An EBITDA Multiple'!$H$30,SUM(J26:L26),"")</f>
        <v>0</v>
      </c>
      <c r="N26" s="146">
        <f>IF(8&lt;='Peer Inside An EBITDA Multiple'!$H$30,K26,"")</f>
        <v>87.525238451979362</v>
      </c>
      <c r="O26" s="146">
        <f>IF(8&lt;='Peer Inside An EBITDA Multiple'!$H$30,-N26,"")</f>
        <v>-87.525238451979362</v>
      </c>
      <c r="P26" s="146">
        <f>IF(8&lt;='Peer Inside An EBITDA Multiple'!$H$30,SUM(M26:O26),"")</f>
        <v>0</v>
      </c>
      <c r="Q26" s="146" t="str">
        <f>IF(9&lt;='Peer Inside An EBITDA Multiple'!$H$30,N26,"")</f>
        <v/>
      </c>
      <c r="R26" s="146" t="str">
        <f>IF(9&lt;='Peer Inside An EBITDA Multiple'!$H$30,-Q26,"")</f>
        <v/>
      </c>
      <c r="S26" s="146" t="str">
        <f>IF(9&lt;='Peer Inside An EBITDA Multiple'!$H$30,SUM(P26:R26),"")</f>
        <v/>
      </c>
      <c r="T26" s="146" t="str">
        <f>IF(10&lt;='Peer Inside An EBITDA Multiple'!$H$30,Q26,"")</f>
        <v/>
      </c>
      <c r="U26" s="146" t="str">
        <f>IF(10&lt;='Peer Inside An EBITDA Multiple'!$H$30,-T26,"")</f>
        <v/>
      </c>
      <c r="V26" s="146" t="str">
        <f>IF(10&lt;='Peer Inside An EBITDA Multiple'!$H$30,SUM(S26:U26),"")</f>
        <v/>
      </c>
    </row>
    <row r="27" spans="2:22" ht="12" customHeight="1">
      <c r="B27" s="153">
        <f>IF('Peer Inside An EBITDA Multiple'!$H$30&gt;5,B14+11,"")</f>
        <v>62</v>
      </c>
      <c r="C27" s="136"/>
      <c r="D27" s="139" t="str">
        <f>IF('Peer Inside An EBITDA Multiple'!$H$30&gt;5,D14,"")</f>
        <v>Interest Expense</v>
      </c>
      <c r="E27" s="136"/>
      <c r="F27" s="144" t="str">
        <f>IF('Peer Inside An EBITDA Multiple'!$H$30&gt;5,"-["&amp;TEXT(B23,"0")&amp;"]*["&amp;TEXT('Peer Inside An EBITDA Multiple'!$C$11,"0")&amp;"]","")</f>
        <v>-[58]*[4]</v>
      </c>
      <c r="G27" s="146">
        <f>IF('Peer Inside An EBITDA Multiple'!$H$30&gt;G19,V14,"")</f>
        <v>0</v>
      </c>
      <c r="H27" s="146">
        <f>IF(6&lt;='Peer Inside An EBITDA Multiple'!$H$30,-G23*'Peer Inside An EBITDA Multiple'!$H$11,"")</f>
        <v>12.560303469577043</v>
      </c>
      <c r="I27" s="146">
        <f>IF(6&lt;='Peer Inside An EBITDA Multiple'!$H$30,-H27,"")</f>
        <v>-12.560303469577043</v>
      </c>
      <c r="J27" s="146">
        <f>IF(6&lt;='Peer Inside An EBITDA Multiple'!$H$30,SUM(G27:I27),"")</f>
        <v>0</v>
      </c>
      <c r="K27" s="146">
        <f>IF(7&lt;='Peer Inside An EBITDA Multiple'!$H$30,-J23*'Peer Inside An EBITDA Multiple'!$H$11,"")</f>
        <v>8.6913090543549369</v>
      </c>
      <c r="L27" s="146">
        <f>IF(7&lt;='Peer Inside An EBITDA Multiple'!$H$30,-K27,"")</f>
        <v>-8.6913090543549369</v>
      </c>
      <c r="M27" s="146">
        <f>IF(7&lt;='Peer Inside An EBITDA Multiple'!$H$30,SUM(J27:L27),"")</f>
        <v>0</v>
      </c>
      <c r="N27" s="146">
        <f>IF(8&lt;='Peer Inside An EBITDA Multiple'!$H$30,-M23*'Peer Inside An EBITDA Multiple'!$H$11,"")</f>
        <v>4.512795085915065</v>
      </c>
      <c r="O27" s="146">
        <f>IF(8&lt;='Peer Inside An EBITDA Multiple'!$H$30,-N27,"")</f>
        <v>-4.512795085915065</v>
      </c>
      <c r="P27" s="146">
        <f>IF(8&lt;='Peer Inside An EBITDA Multiple'!$H$30,SUM(M27:O27),"")</f>
        <v>0</v>
      </c>
      <c r="Q27" s="146" t="str">
        <f>IF(9&lt;='Peer Inside An EBITDA Multiple'!$H$30,-P23*'Peer Inside An EBITDA Multiple'!$H$11,"")</f>
        <v/>
      </c>
      <c r="R27" s="146" t="str">
        <f>IF(9&lt;='Peer Inside An EBITDA Multiple'!$H$30,-Q27,"")</f>
        <v/>
      </c>
      <c r="S27" s="146" t="str">
        <f>IF(9&lt;='Peer Inside An EBITDA Multiple'!$H$30,SUM(P27:R27),"")</f>
        <v/>
      </c>
      <c r="T27" s="146" t="str">
        <f>IF(10&lt;='Peer Inside An EBITDA Multiple'!$H$30,-S23*'Peer Inside An EBITDA Multiple'!$H$11,"")</f>
        <v/>
      </c>
      <c r="U27" s="146" t="str">
        <f>IF(10&lt;='Peer Inside An EBITDA Multiple'!$H$30,-T27,"")</f>
        <v/>
      </c>
      <c r="V27" s="146" t="str">
        <f>IF(10&lt;='Peer Inside An EBITDA Multiple'!$H$30,SUM(S27:U27),"")</f>
        <v/>
      </c>
    </row>
    <row r="28" spans="2:22" ht="12" customHeight="1">
      <c r="B28" s="153">
        <f>IF('Peer Inside An EBITDA Multiple'!$H$30&gt;5,B15+11,"")</f>
        <v>63</v>
      </c>
      <c r="C28" s="136"/>
      <c r="D28" s="139" t="str">
        <f>IF('Peer Inside An EBITDA Multiple'!$H$30&gt;5,D15,"")</f>
        <v>Cash Return</v>
      </c>
      <c r="E28" s="136"/>
      <c r="F28" s="144" t="str">
        <f>IF('Peer Inside An EBITDA Multiple'!$H$30&gt;5,"-["&amp;TEXT(B22,"0")&amp;"]*["&amp;'Peer Inside An EBITDA Multiple'!$C$9&amp;"]","")</f>
        <v>-[57]*[2]</v>
      </c>
      <c r="G28" s="146">
        <f>IF('Peer Inside An EBITDA Multiple'!$H$30&gt;G19,V15,"")</f>
        <v>0</v>
      </c>
      <c r="H28" s="146">
        <f>IF(6&lt;='Peer Inside An EBITDA Multiple'!$H$30,-G22*'Peer Inside An EBITDA Multiple'!$H9,"")</f>
        <v>-8.2290994213580593</v>
      </c>
      <c r="I28" s="146">
        <f>IF(6&lt;='Peer Inside An EBITDA Multiple'!$H$30,-H28,"")</f>
        <v>8.2290994213580593</v>
      </c>
      <c r="J28" s="146">
        <f>IF(6&lt;='Peer Inside An EBITDA Multiple'!$H$30,SUM(G28:I28),"")</f>
        <v>0</v>
      </c>
      <c r="K28" s="146">
        <f>IF(7&lt;='Peer Inside An EBITDA Multiple'!$H$30,-J22*'Peer Inside An EBITDA Multiple'!$H9,"")</f>
        <v>-6.7571599127863315</v>
      </c>
      <c r="L28" s="146">
        <f>IF(7&lt;='Peer Inside An EBITDA Multiple'!$H$30,-K28,"")</f>
        <v>6.7571599127863315</v>
      </c>
      <c r="M28" s="146">
        <f>IF(7&lt;='Peer Inside An EBITDA Multiple'!$H$30,SUM(J28:L28),"")</f>
        <v>0</v>
      </c>
      <c r="N28" s="146">
        <f>IF(8&lt;='Peer Inside An EBITDA Multiple'!$H$30,-M22*'Peer Inside An EBITDA Multiple'!$H9,"")</f>
        <v>-4.0471421913435401</v>
      </c>
      <c r="O28" s="146">
        <f>IF(8&lt;='Peer Inside An EBITDA Multiple'!$H$30,-N28,"")</f>
        <v>4.0471421913435401</v>
      </c>
      <c r="P28" s="146">
        <f>IF(8&lt;='Peer Inside An EBITDA Multiple'!$H$30,SUM(M28:O28),"")</f>
        <v>0</v>
      </c>
      <c r="Q28" s="146" t="str">
        <f>IF(9&lt;='Peer Inside An EBITDA Multiple'!$H$30,-P22*'Peer Inside An EBITDA Multiple'!$H9,"")</f>
        <v/>
      </c>
      <c r="R28" s="146" t="str">
        <f>IF(9&lt;='Peer Inside An EBITDA Multiple'!$H$30,-Q28,"")</f>
        <v/>
      </c>
      <c r="S28" s="146" t="str">
        <f>IF(9&lt;='Peer Inside An EBITDA Multiple'!$H$30,SUM(P28:R28),"")</f>
        <v/>
      </c>
      <c r="T28" s="146" t="str">
        <f>IF(10&lt;='Peer Inside An EBITDA Multiple'!$H$30,-S22*'Peer Inside An EBITDA Multiple'!$H9,"")</f>
        <v/>
      </c>
      <c r="U28" s="146" t="str">
        <f>IF(10&lt;='Peer Inside An EBITDA Multiple'!$H$30,-T28,"")</f>
        <v/>
      </c>
      <c r="V28" s="146" t="str">
        <f>IF(10&lt;='Peer Inside An EBITDA Multiple'!$H$30,SUM(S28:U28),"")</f>
        <v/>
      </c>
    </row>
    <row r="29" spans="2:22" ht="12" customHeight="1">
      <c r="B29" s="153">
        <f>IF('Peer Inside An EBITDA Multiple'!$H$30&gt;5,B16+11,"")</f>
        <v>64</v>
      </c>
      <c r="C29" s="136"/>
      <c r="D29" s="139" t="str">
        <f>IF('Peer Inside An EBITDA Multiple'!$H$30&gt;5,D16,"")</f>
        <v>Income Tax</v>
      </c>
      <c r="E29" s="136"/>
      <c r="F29" s="144" t="str">
        <f>IF('Peer Inside An EBITDA Multiple'!$H$30&gt;5,"-SUM(["&amp;TEXT(B25,"0")&amp;"]:["&amp;TEXT(B28,"0")&amp;"])*["&amp;'Peer Inside An EBITDA Multiple'!$C$12&amp;"]","")</f>
        <v>-SUM([60]:[63])*[5]</v>
      </c>
      <c r="G29" s="146">
        <f>IF('Peer Inside An EBITDA Multiple'!$H$30&gt;G19,V16,"")</f>
        <v>0</v>
      </c>
      <c r="H29" s="146">
        <f>IF(6&lt;='Peer Inside An EBITDA Multiple'!$H$30,-SUM(H25:H28)*'Peer Inside An EBITDA Multiple'!$H$12,"")</f>
        <v>21.628711499960367</v>
      </c>
      <c r="I29" s="146">
        <f>IF(6&lt;='Peer Inside An EBITDA Multiple'!$H$30,-H29,"")</f>
        <v>-21.628711499960367</v>
      </c>
      <c r="J29" s="146">
        <f>IF(6&lt;='Peer Inside An EBITDA Multiple'!$H$30,SUM(G29:I29),"")</f>
        <v>0</v>
      </c>
      <c r="K29" s="146">
        <f>IF(7&lt;='Peer Inside An EBITDA Multiple'!$H$30,-SUM(K25:K28)*'Peer Inside An EBITDA Multiple'!$H$12,"")</f>
        <v>30.108122481290458</v>
      </c>
      <c r="L29" s="146">
        <f>IF(7&lt;='Peer Inside An EBITDA Multiple'!$H$30,-K29,"")</f>
        <v>-30.108122481290458</v>
      </c>
      <c r="M29" s="146">
        <f>IF(7&lt;='Peer Inside An EBITDA Multiple'!$H$30,SUM(J29:L29),"")</f>
        <v>0</v>
      </c>
      <c r="N29" s="146">
        <f>IF(8&lt;='Peer Inside An EBITDA Multiple'!$H$30,-SUM(N25:N28)*'Peer Inside An EBITDA Multiple'!$H$12,"")</f>
        <v>38.801821730689888</v>
      </c>
      <c r="O29" s="146">
        <f>IF(8&lt;='Peer Inside An EBITDA Multiple'!$H$30,-N29,"")</f>
        <v>-38.801821730689888</v>
      </c>
      <c r="P29" s="146">
        <f>IF(8&lt;='Peer Inside An EBITDA Multiple'!$H$30,SUM(M29:O29),"")</f>
        <v>0</v>
      </c>
      <c r="Q29" s="146" t="str">
        <f>IF(9&lt;='Peer Inside An EBITDA Multiple'!$H$30,-SUM(Q25:Q28)*'Peer Inside An EBITDA Multiple'!$H$12,"")</f>
        <v/>
      </c>
      <c r="R29" s="146" t="str">
        <f>IF(9&lt;='Peer Inside An EBITDA Multiple'!$H$30,-Q29,"")</f>
        <v/>
      </c>
      <c r="S29" s="146" t="str">
        <f>IF(9&lt;='Peer Inside An EBITDA Multiple'!$H$30,SUM(P29:R29),"")</f>
        <v/>
      </c>
      <c r="T29" s="146" t="str">
        <f>IF(10&lt;='Peer Inside An EBITDA Multiple'!$H$30,-SUM(T25:T28)*'Peer Inside An EBITDA Multiple'!$H$12,"")</f>
        <v/>
      </c>
      <c r="U29" s="146" t="str">
        <f>IF(10&lt;='Peer Inside An EBITDA Multiple'!$H$30,-T29,"")</f>
        <v/>
      </c>
      <c r="V29" s="146" t="str">
        <f>IF(10&lt;='Peer Inside An EBITDA Multiple'!$H$30,SUM(S29:U29),"")</f>
        <v/>
      </c>
    </row>
    <row r="30" spans="2:22" ht="12.75" customHeight="1" thickBot="1">
      <c r="B30" s="153">
        <f>IF('Peer Inside An EBITDA Multiple'!$H$30&gt;5,B17+11,"")</f>
        <v>65</v>
      </c>
      <c r="C30" s="136"/>
      <c r="D30" s="139" t="str">
        <f>IF('Peer Inside An EBITDA Multiple'!$H$30&gt;5,D17,"")</f>
        <v>Total</v>
      </c>
      <c r="E30" s="136"/>
      <c r="F30" s="144" t="str">
        <f>IF('Peer Inside An EBITDA Multiple'!$H$30&gt;5,"SUM(["&amp;TEXT(B20,"0")&amp;"]:["&amp;TEXT(B29,"0")&amp;"])","")</f>
        <v>SUM([55]:[64])</v>
      </c>
      <c r="G30" s="151">
        <f>IF(V6&lt;'Peer Inside An EBITDA Multiple'!$H$30,ABS(SUM(G20:G29)),"")</f>
        <v>4.2632564145606011E-14</v>
      </c>
      <c r="H30" s="151">
        <f>IF(J19&lt;='Peer Inside An EBITDA Multiple'!$H$30,ABS(SUM(H20:H29)),"")</f>
        <v>0</v>
      </c>
      <c r="I30" s="151">
        <f>IF(J19&lt;='Peer Inside An EBITDA Multiple'!$H$30,ABS(SUM(I20:I29)),"")</f>
        <v>0</v>
      </c>
      <c r="J30" s="151">
        <f>IF(J19&lt;='Peer Inside An EBITDA Multiple'!$H$30,ABS(SUM(J20:J29)),"")</f>
        <v>7.1054273576010019E-14</v>
      </c>
      <c r="K30" s="151">
        <f>IF(M19&lt;='Peer Inside An EBITDA Multiple'!$H$30,ABS(SUM(K20:K29)),"")</f>
        <v>0</v>
      </c>
      <c r="L30" s="151">
        <f>IF(M19&lt;='Peer Inside An EBITDA Multiple'!$H$30,ABS(SUM(L20:L29)),"")</f>
        <v>0</v>
      </c>
      <c r="M30" s="151">
        <f>IF(M19&lt;='Peer Inside An EBITDA Multiple'!$H$30,ABS(SUM(M20:M29)),"")</f>
        <v>8.5265128291212022E-14</v>
      </c>
      <c r="N30" s="151">
        <f>IF(P19&lt;='Peer Inside An EBITDA Multiple'!$H$30,ABS(SUM(N20:N29)),"")</f>
        <v>0</v>
      </c>
      <c r="O30" s="151">
        <f>IF(P19&lt;='Peer Inside An EBITDA Multiple'!$H$30,ABS(SUM(O20:O29)),"")</f>
        <v>0</v>
      </c>
      <c r="P30" s="151">
        <f>IF(P19&lt;='Peer Inside An EBITDA Multiple'!$H$30,ABS(SUM(P20:P29)),"")</f>
        <v>4.9737991503207013E-14</v>
      </c>
      <c r="Q30" s="151" t="str">
        <f>IF(S19&lt;='Peer Inside An EBITDA Multiple'!$H$30,ABS(SUM(Q20:Q29)),"")</f>
        <v/>
      </c>
      <c r="R30" s="151" t="str">
        <f>IF(S19&lt;='Peer Inside An EBITDA Multiple'!$H$30,ABS(SUM(R20:R29)),"")</f>
        <v/>
      </c>
      <c r="S30" s="151" t="str">
        <f>IF(S19&lt;='Peer Inside An EBITDA Multiple'!$H$30,ABS(SUM(S20:S29)),"")</f>
        <v/>
      </c>
      <c r="T30" s="151" t="str">
        <f>IF(V19&lt;='Peer Inside An EBITDA Multiple'!$H$30,ABS(SUM(T20:T29)),"")</f>
        <v/>
      </c>
      <c r="U30" s="151" t="str">
        <f>IF(V19&lt;='Peer Inside An EBITDA Multiple'!$H$30,ABS(SUM(U20:U29)),"")</f>
        <v/>
      </c>
      <c r="V30" s="151" t="str">
        <f>IF(V19&lt;='Peer Inside An EBITDA Multiple'!$H$30,ABS(SUM(V20:V29)),"")</f>
        <v/>
      </c>
    </row>
    <row r="31" spans="2:22" ht="9" customHeight="1" thickTop="1"/>
    <row r="32" spans="2:22" ht="12" customHeight="1">
      <c r="D32" s="138" t="str">
        <f>IF('Peer Inside An EBITDA Multiple'!$H$30&gt;10,IF('Peer Inside An EBITDA Multiple'!$H$30=11,"Trial Balance 11","Trial Balances 11 - "&amp;IF('Peer Inside An EBITDA Multiple'!$H$30&lt;=14,'Peer Inside An EBITDA Multiple'!$H$30,"15")),"")</f>
        <v/>
      </c>
      <c r="E32" s="138"/>
      <c r="F32" s="143"/>
      <c r="G32" s="149" t="str">
        <f>IF(V19&lt;'Peer Inside An EBITDA Multiple'!$H$30,V19,"")</f>
        <v/>
      </c>
      <c r="H32" s="149" t="str">
        <f>IF(G32&lt;'Peer Inside An EBITDA Multiple'!$H$30,"Activity","")</f>
        <v/>
      </c>
      <c r="I32" s="149" t="str">
        <f>IF(G32&lt;'Peer Inside An EBITDA Multiple'!$H$30,"Close","")</f>
        <v/>
      </c>
      <c r="J32" s="150" t="str">
        <f>IF(G32&lt;'Peer Inside An EBITDA Multiple'!$H$30,G32+1,"")</f>
        <v/>
      </c>
      <c r="K32" s="149" t="str">
        <f>IF(J32&lt;'Peer Inside An EBITDA Multiple'!$H$30,"Activity","")</f>
        <v/>
      </c>
      <c r="L32" s="149" t="str">
        <f>IF(J32&lt;'Peer Inside An EBITDA Multiple'!$H$30,"Close","")</f>
        <v/>
      </c>
      <c r="M32" s="150" t="str">
        <f>IF(J32&lt;'Peer Inside An EBITDA Multiple'!$H$30,J32+1,"")</f>
        <v/>
      </c>
      <c r="N32" s="149" t="str">
        <f>IF(M32&lt;'Peer Inside An EBITDA Multiple'!$H$30,"Activity","")</f>
        <v/>
      </c>
      <c r="O32" s="149" t="str">
        <f>IF(M32&lt;'Peer Inside An EBITDA Multiple'!$H$30,"Close","")</f>
        <v/>
      </c>
      <c r="P32" s="150" t="str">
        <f>IF(M32&lt;'Peer Inside An EBITDA Multiple'!$H$30,M32+1,"")</f>
        <v/>
      </c>
      <c r="Q32" s="149" t="str">
        <f>IF(P32&lt;'Peer Inside An EBITDA Multiple'!$H$30,"Activity","")</f>
        <v/>
      </c>
      <c r="R32" s="149" t="str">
        <f>IF(P32&lt;'Peer Inside An EBITDA Multiple'!$H$30,"Close","")</f>
        <v/>
      </c>
      <c r="S32" s="150" t="str">
        <f>IF(P32&lt;'Peer Inside An EBITDA Multiple'!$H$30,P32+1,"")</f>
        <v/>
      </c>
      <c r="T32" s="149" t="str">
        <f>IF(S32&lt;'Peer Inside An EBITDA Multiple'!$H$30,"Activity","")</f>
        <v/>
      </c>
      <c r="U32" s="149" t="str">
        <f>IF(S32&lt;'Peer Inside An EBITDA Multiple'!$H$30,"Close","")</f>
        <v/>
      </c>
      <c r="V32" s="150" t="str">
        <f>IF(S32&lt;'Peer Inside An EBITDA Multiple'!$H$30,S32+1,"")</f>
        <v/>
      </c>
    </row>
    <row r="33" spans="2:22" ht="12" customHeight="1">
      <c r="B33" s="155" t="str">
        <f>IF('Peer Inside An EBITDA Multiple'!$H$30&gt;10,B20+11,"")</f>
        <v/>
      </c>
      <c r="D33" s="139" t="str">
        <f>IF('Peer Inside An EBITDA Multiple'!$H$30&gt;10,D20,"")</f>
        <v/>
      </c>
      <c r="E33" s="136"/>
      <c r="F33" s="145" t="str">
        <f>IF('Peer Inside An EBITDA Multiple'!$H$30&gt;10,"["&amp;'Peer Inside An EBITDA Multiple'!$C$39&amp;"]","")</f>
        <v/>
      </c>
      <c r="G33" s="146" t="str">
        <f>IF('Peer Inside An EBITDA Multiple'!$H$30&gt;G32,V20,"")</f>
        <v/>
      </c>
      <c r="I33" s="146" t="str">
        <f>IF(11&lt;'Peer Inside An EBITDA Multiple'!$H$30,"",IF(11='Peer Inside An EBITDA Multiple'!$H$30,-V20,""))</f>
        <v/>
      </c>
      <c r="J33" s="146" t="str">
        <f>IF(11&lt;='Peer Inside An EBITDA Multiple'!$H$30,SUM(G33:I33),"")</f>
        <v/>
      </c>
      <c r="L33" s="146" t="str">
        <f>IF(12&lt;'Peer Inside An EBITDA Multiple'!$H$30,"",IF(12='Peer Inside An EBITDA Multiple'!$H$30,-J33,""))</f>
        <v/>
      </c>
      <c r="M33" s="146" t="str">
        <f>IF(12&lt;='Peer Inside An EBITDA Multiple'!$H$30,SUM(J33:L33),"")</f>
        <v/>
      </c>
      <c r="O33" s="146" t="str">
        <f>IF(13&lt;'Peer Inside An EBITDA Multiple'!$H$30,"",IF(13='Peer Inside An EBITDA Multiple'!$H$30,-M33,""))</f>
        <v/>
      </c>
      <c r="P33" s="146" t="str">
        <f>IF(13&lt;='Peer Inside An EBITDA Multiple'!$H$30,SUM(M33:O33),"")</f>
        <v/>
      </c>
      <c r="R33" s="146" t="str">
        <f>IF(14&lt;'Peer Inside An EBITDA Multiple'!$H$30,"",IF(14='Peer Inside An EBITDA Multiple'!$H$30,-P33,""))</f>
        <v/>
      </c>
      <c r="S33" s="146" t="str">
        <f>IF(14&lt;='Peer Inside An EBITDA Multiple'!$H$30,SUM(P33:R33),"")</f>
        <v/>
      </c>
      <c r="U33" s="146" t="str">
        <f>IF(15&lt;'Peer Inside An EBITDA Multiple'!$H$30,"",IF(15='Peer Inside An EBITDA Multiple'!$H$30,-S33,""))</f>
        <v/>
      </c>
      <c r="V33" s="146" t="str">
        <f>IF(15&lt;='Peer Inside An EBITDA Multiple'!$H$30,SUM(S33:U33),"")</f>
        <v/>
      </c>
    </row>
    <row r="34" spans="2:22" ht="12" customHeight="1">
      <c r="B34" s="155" t="str">
        <f>IF('Peer Inside An EBITDA Multiple'!$H$30&gt;10,B21+11,"")</f>
        <v/>
      </c>
      <c r="D34" s="139" t="str">
        <f>IF('Peer Inside An EBITDA Multiple'!$H$30&gt;10,D21,"")</f>
        <v/>
      </c>
      <c r="E34" s="136"/>
      <c r="F34" s="144" t="str">
        <f>IF('Peer Inside An EBITDA Multiple'!$H$30&gt;10,"["&amp;TEXT(B34,"0")&amp;"]-["&amp;TEXT(B39,"0")&amp;"]","")</f>
        <v/>
      </c>
      <c r="G34" s="146" t="str">
        <f>IF('Peer Inside An EBITDA Multiple'!$H$30&gt;G32,V21,"")</f>
        <v/>
      </c>
      <c r="H34" s="146" t="str">
        <f>IF(11&lt;='Peer Inside An EBITDA Multiple'!$H$30,-H39,"")</f>
        <v/>
      </c>
      <c r="I34" s="146" t="str">
        <f>IF(11='Peer Inside An EBITDA Multiple'!$H$30,-I33,"")</f>
        <v/>
      </c>
      <c r="J34" s="146" t="str">
        <f>IF(11='Peer Inside An EBITDA Multiple'!$H$30,SUM(G34:I34),IF(11&lt;='Peer Inside An EBITDA Multiple'!$H$30,G34-H39,""))</f>
        <v/>
      </c>
      <c r="K34" s="146" t="str">
        <f>IF(12&lt;='Peer Inside An EBITDA Multiple'!$H$30,-K39,"")</f>
        <v/>
      </c>
      <c r="L34" s="146" t="str">
        <f>IF(12='Peer Inside An EBITDA Multiple'!$H$30,-L33,"")</f>
        <v/>
      </c>
      <c r="M34" s="146" t="str">
        <f>IF(12='Peer Inside An EBITDA Multiple'!$H$30,SUM(J34:L34),IF(12&lt;='Peer Inside An EBITDA Multiple'!$H$30,J34-K39,""))</f>
        <v/>
      </c>
      <c r="N34" s="146" t="str">
        <f>IF(13&lt;='Peer Inside An EBITDA Multiple'!$H$30,-N39,"")</f>
        <v/>
      </c>
      <c r="O34" s="146" t="str">
        <f>IF(13='Peer Inside An EBITDA Multiple'!$H$30,-O33,"")</f>
        <v/>
      </c>
      <c r="P34" s="146" t="str">
        <f>IF(13='Peer Inside An EBITDA Multiple'!$H$30,SUM(M34:O34),IF(13&lt;='Peer Inside An EBITDA Multiple'!$H$30,M34-N39,""))</f>
        <v/>
      </c>
      <c r="Q34" s="146" t="str">
        <f>IF(14&lt;='Peer Inside An EBITDA Multiple'!$H$30,-Q39,"")</f>
        <v/>
      </c>
      <c r="R34" s="146" t="str">
        <f>IF(14='Peer Inside An EBITDA Multiple'!$H$30,-R33,"")</f>
        <v/>
      </c>
      <c r="S34" s="146" t="str">
        <f>IF(14='Peer Inside An EBITDA Multiple'!$H$30,SUM(P34:R34),IF(14&lt;='Peer Inside An EBITDA Multiple'!$H$30,P34-Q39,""))</f>
        <v/>
      </c>
      <c r="T34" s="146" t="str">
        <f>IF(15&lt;='Peer Inside An EBITDA Multiple'!$H$30,-T39,"")</f>
        <v/>
      </c>
      <c r="U34" s="146" t="str">
        <f>IF(15='Peer Inside An EBITDA Multiple'!$H$30,-U33,"")</f>
        <v/>
      </c>
      <c r="V34" s="146" t="str">
        <f>IF(15='Peer Inside An EBITDA Multiple'!$H$30,SUM(S34:U34),IF(15&lt;='Peer Inside An EBITDA Multiple'!$H$30,S34-T39,""))</f>
        <v/>
      </c>
    </row>
    <row r="35" spans="2:22" ht="12" customHeight="1">
      <c r="B35" s="155" t="str">
        <f>IF('Peer Inside An EBITDA Multiple'!$H$30&gt;10,B22+11,"")</f>
        <v/>
      </c>
      <c r="D35" s="139" t="str">
        <f>IF('Peer Inside An EBITDA Multiple'!$H$30&gt;10,D22,"")</f>
        <v/>
      </c>
      <c r="E35" s="136"/>
      <c r="F35" s="144" t="str">
        <f>IF('Peer Inside An EBITDA Multiple'!$H$30&gt;10,"-SUM(["&amp;TEXT(B33,"0")&amp;"]:["&amp;TEXT(B34,"0")&amp;"],["&amp;TEXT(B36,"0")&amp;"]:["&amp;TEXT(B42,"0")&amp;"])","")</f>
        <v/>
      </c>
      <c r="G35" s="146" t="str">
        <f>IF('Peer Inside An EBITDA Multiple'!$H$30&gt;G32,V22,"")</f>
        <v/>
      </c>
      <c r="H35" s="146" t="str">
        <f>IF(11&lt;='Peer Inside An EBITDA Multiple'!$H$30,-SUM(H33:H34,H36:H42),"")</f>
        <v/>
      </c>
      <c r="J35" s="146" t="str">
        <f>IF(11='Peer Inside An EBITDA Multiple'!$H$30,ABS(SUM(G35:I35)),IF(11&lt;'Peer Inside An EBITDA Multiple'!$H$30,SUM(G35:I35),""))</f>
        <v/>
      </c>
      <c r="K35" s="146" t="str">
        <f>IF(12&lt;='Peer Inside An EBITDA Multiple'!$H$30,-SUM(K33:K34,K36:K42),"")</f>
        <v/>
      </c>
      <c r="M35" s="146" t="str">
        <f>IF(12='Peer Inside An EBITDA Multiple'!$H$30,ABS(SUM(J35:L35)),IF(12&lt;'Peer Inside An EBITDA Multiple'!$H$30,SUM(J35:L35),""))</f>
        <v/>
      </c>
      <c r="N35" s="146" t="str">
        <f>IF(13&lt;='Peer Inside An EBITDA Multiple'!$H$30,-SUM(N33:N34,N36:N42),"")</f>
        <v/>
      </c>
      <c r="P35" s="146" t="str">
        <f>IF(13='Peer Inside An EBITDA Multiple'!$H$30,ABS(SUM(M35:O35)),IF(13&lt;'Peer Inside An EBITDA Multiple'!$H$30,SUM(M35:O35),""))</f>
        <v/>
      </c>
      <c r="Q35" s="146" t="str">
        <f>IF(14&lt;='Peer Inside An EBITDA Multiple'!$H$30,-SUM(Q33:Q34,Q36:Q42),"")</f>
        <v/>
      </c>
      <c r="S35" s="146" t="str">
        <f>IF(14='Peer Inside An EBITDA Multiple'!$H$30,ABS(SUM(P35:R35)),IF(14&lt;'Peer Inside An EBITDA Multiple'!$H$30,SUM(P35:R35),""))</f>
        <v/>
      </c>
      <c r="T35" s="146" t="str">
        <f>IF(15&lt;='Peer Inside An EBITDA Multiple'!$H$30,-SUM(T33:T34,T36:T42),"")</f>
        <v/>
      </c>
      <c r="V35" s="146" t="str">
        <f>IF(15='Peer Inside An EBITDA Multiple'!$H$30,ABS(SUM(S35:U35)),IF(15&lt;'Peer Inside An EBITDA Multiple'!$H$30,SUM(S35:U35),""))</f>
        <v/>
      </c>
    </row>
    <row r="36" spans="2:22" ht="12" customHeight="1">
      <c r="B36" s="155" t="str">
        <f>IF('Peer Inside An EBITDA Multiple'!$H$30&gt;10,B23+11,"")</f>
        <v/>
      </c>
      <c r="D36" s="139" t="str">
        <f>IF('Peer Inside An EBITDA Multiple'!$H$30&gt;10,D23,"")</f>
        <v/>
      </c>
      <c r="E36" s="136"/>
      <c r="F36" s="144" t="str">
        <f>IF('Peer Inside An EBITDA Multiple'!$H$30&gt;10,"-["&amp;'Peer Inside An EBITDA Multiple'!$C$44&amp;"]*["&amp;'Peer Inside An EBITDA Multiple'!$C$10&amp;"]","")</f>
        <v/>
      </c>
      <c r="G36" s="146" t="str">
        <f>IF('Peer Inside An EBITDA Multiple'!$H$30&gt;G32,V23,"")</f>
        <v/>
      </c>
      <c r="H36" s="146" t="str">
        <f>IF(11&lt;='Peer Inside An EBITDA Multiple'!$H$30,-'Peer Inside An EBITDA Multiple'!S59,"")</f>
        <v/>
      </c>
      <c r="J36" s="146" t="str">
        <f>IF(11='Peer Inside An EBITDA Multiple'!$H$30,ABS(SUM(G36:I36)),IF(11&lt;'Peer Inside An EBITDA Multiple'!$H$30,SUM(G36:I36),""))</f>
        <v/>
      </c>
      <c r="K36" s="146" t="str">
        <f>IF(12&lt;='Peer Inside An EBITDA Multiple'!$H$30,-'Peer Inside An EBITDA Multiple'!T59,"")</f>
        <v/>
      </c>
      <c r="M36" s="146" t="str">
        <f>IF(12='Peer Inside An EBITDA Multiple'!$H$30,ABS(SUM(J36:L36)),IF(12&lt;'Peer Inside An EBITDA Multiple'!$H$30,SUM(J36:L36),""))</f>
        <v/>
      </c>
      <c r="N36" s="146" t="str">
        <f>IF(13&lt;='Peer Inside An EBITDA Multiple'!$H$30,-'Peer Inside An EBITDA Multiple'!U59,"")</f>
        <v/>
      </c>
      <c r="P36" s="146" t="str">
        <f>IF(13='Peer Inside An EBITDA Multiple'!$H$30,ABS(SUM(M36:O36)),IF(13&lt;'Peer Inside An EBITDA Multiple'!$H$30,SUM(M36:O36),""))</f>
        <v/>
      </c>
      <c r="Q36" s="146" t="str">
        <f>IF(14&lt;='Peer Inside An EBITDA Multiple'!$H$30,-'Peer Inside An EBITDA Multiple'!V59,"")</f>
        <v/>
      </c>
      <c r="S36" s="146" t="str">
        <f>IF(14='Peer Inside An EBITDA Multiple'!$H$30,ABS(SUM(P36:R36)),IF(14&lt;'Peer Inside An EBITDA Multiple'!$H$30,SUM(P36:R36),""))</f>
        <v/>
      </c>
      <c r="T36" s="146" t="str">
        <f>IF(15&lt;='Peer Inside An EBITDA Multiple'!$H$30,-'Peer Inside An EBITDA Multiple'!W59,"")</f>
        <v/>
      </c>
      <c r="V36" s="146" t="str">
        <f>IF(15='Peer Inside An EBITDA Multiple'!$H$30,ABS(SUM(S36:U36)),IF(15&lt;'Peer Inside An EBITDA Multiple'!$H$30,SUM(S36:U36),""))</f>
        <v/>
      </c>
    </row>
    <row r="37" spans="2:22" ht="12" customHeight="1">
      <c r="B37" s="155" t="str">
        <f>IF('Peer Inside An EBITDA Multiple'!$H$30&gt;10,B24+11,"")</f>
        <v/>
      </c>
      <c r="D37" s="139" t="str">
        <f>IF('Peer Inside An EBITDA Multiple'!$H$30&gt;10,D24,"")</f>
        <v/>
      </c>
      <c r="E37" s="136"/>
      <c r="F37" s="144" t="str">
        <f>IF('Peer Inside An EBITDA Multiple'!$H$30&gt;10,"-["&amp;'Peer Inside An EBITDA Multiple'!$C$44&amp;"]*(1-["&amp;'Peer Inside An EBITDA Multiple'!$C$10&amp;"])","")</f>
        <v/>
      </c>
      <c r="G37" s="146" t="str">
        <f>IF('Peer Inside An EBITDA Multiple'!$H$30&gt;G32,V24,"")</f>
        <v/>
      </c>
      <c r="H37" s="146" t="str">
        <f>IF(11&lt;='Peer Inside An EBITDA Multiple'!$H$30,J37-V24-I37,"")</f>
        <v/>
      </c>
      <c r="I37" s="146" t="str">
        <f>IF(11&lt;='Peer Inside An EBITDA Multiple'!$H$30,-SUM(I38:I42),"")</f>
        <v/>
      </c>
      <c r="J37" s="146" t="str">
        <f>IF(11='Peer Inside An EBITDA Multiple'!$H$30,0,IF(11&lt;'Peer Inside An EBITDA Multiple'!$H$30,-'Peer Inside An EBITDA Multiple'!S66,""))</f>
        <v/>
      </c>
      <c r="K37" s="146" t="str">
        <f>IF(12&lt;='Peer Inside An EBITDA Multiple'!$H$30,M37-J37-L37,"")</f>
        <v/>
      </c>
      <c r="L37" s="146" t="str">
        <f>IF(12&lt;='Peer Inside An EBITDA Multiple'!$H$30,-SUM(L38:L42),"")</f>
        <v/>
      </c>
      <c r="M37" s="146" t="str">
        <f>IF(12='Peer Inside An EBITDA Multiple'!$H$30,0,IF(12&lt;'Peer Inside An EBITDA Multiple'!$H$30,-'Peer Inside An EBITDA Multiple'!T66,""))</f>
        <v/>
      </c>
      <c r="N37" s="146" t="str">
        <f>IF(13&lt;='Peer Inside An EBITDA Multiple'!$H$30,P37-M37-O37,"")</f>
        <v/>
      </c>
      <c r="O37" s="146" t="str">
        <f>IF(13&lt;='Peer Inside An EBITDA Multiple'!$H$30,-SUM(O38:O42),"")</f>
        <v/>
      </c>
      <c r="P37" s="146" t="str">
        <f>IF(13='Peer Inside An EBITDA Multiple'!$H$30,0,IF(13&lt;'Peer Inside An EBITDA Multiple'!$H$30,-'Peer Inside An EBITDA Multiple'!U66,""))</f>
        <v/>
      </c>
      <c r="Q37" s="146" t="str">
        <f>IF(14&lt;='Peer Inside An EBITDA Multiple'!$H$30,S37-P37-R37,"")</f>
        <v/>
      </c>
      <c r="R37" s="146" t="str">
        <f>IF(14&lt;='Peer Inside An EBITDA Multiple'!$H$30,-SUM(R38:R42),"")</f>
        <v/>
      </c>
      <c r="S37" s="146" t="str">
        <f>IF(14='Peer Inside An EBITDA Multiple'!$H$30,0,IF(14&lt;'Peer Inside An EBITDA Multiple'!$H$30,-'Peer Inside An EBITDA Multiple'!V66,""))</f>
        <v/>
      </c>
      <c r="T37" s="146" t="str">
        <f>IF(15&lt;='Peer Inside An EBITDA Multiple'!$H$30,V37-S37-U37,"")</f>
        <v/>
      </c>
      <c r="U37" s="146" t="str">
        <f>IF(15&lt;='Peer Inside An EBITDA Multiple'!$H$30,-SUM(U38:U42),"")</f>
        <v/>
      </c>
      <c r="V37" s="146" t="str">
        <f>IF(15='Peer Inside An EBITDA Multiple'!$H$30,0,IF(15&lt;'Peer Inside An EBITDA Multiple'!$H$30,-'Peer Inside An EBITDA Multiple'!W66,""))</f>
        <v/>
      </c>
    </row>
    <row r="38" spans="2:22" ht="12" customHeight="1">
      <c r="B38" s="155" t="str">
        <f>IF('Peer Inside An EBITDA Multiple'!$H$30&gt;10,B25+11,"")</f>
        <v/>
      </c>
      <c r="D38" s="139" t="str">
        <f>IF('Peer Inside An EBITDA Multiple'!$H$30&gt;10,D25,"")</f>
        <v/>
      </c>
      <c r="E38" s="136"/>
      <c r="F38" s="144" t="str">
        <f>IF('Peer Inside An EBITDA Multiple'!$H$30&gt;10,"["&amp;TEXT('Peer Inside An EBITDA Multiple'!$C$46,"0")&amp;"]","")</f>
        <v/>
      </c>
      <c r="G38" s="146" t="str">
        <f>IF('Peer Inside An EBITDA Multiple'!$H$30&gt;G32,V25,"")</f>
        <v/>
      </c>
      <c r="H38" s="146" t="str">
        <f>IF(11&lt;='Peer Inside An EBITDA Multiple'!$H$30,-'Peer Inside An EBITDA Multiple'!S49,"")</f>
        <v/>
      </c>
      <c r="I38" s="146" t="str">
        <f>IF(11&lt;='Peer Inside An EBITDA Multiple'!$H$30,-H38,"")</f>
        <v/>
      </c>
      <c r="J38" s="146" t="str">
        <f>IF(11&lt;='Peer Inside An EBITDA Multiple'!$H$30,SUM(G38:I38),"")</f>
        <v/>
      </c>
      <c r="K38" s="146" t="str">
        <f>IF(12&lt;='Peer Inside An EBITDA Multiple'!$H$30,-'Peer Inside An EBITDA Multiple'!T49,"")</f>
        <v/>
      </c>
      <c r="L38" s="146" t="str">
        <f>IF(12&lt;='Peer Inside An EBITDA Multiple'!$H$30,-K38,"")</f>
        <v/>
      </c>
      <c r="M38" s="146" t="str">
        <f>IF(12&lt;='Peer Inside An EBITDA Multiple'!$H$30,SUM(J38:L38),"")</f>
        <v/>
      </c>
      <c r="N38" s="146" t="str">
        <f>IF(13&lt;='Peer Inside An EBITDA Multiple'!$H$30,-'Peer Inside An EBITDA Multiple'!U49,"")</f>
        <v/>
      </c>
      <c r="O38" s="146" t="str">
        <f>IF(13&lt;='Peer Inside An EBITDA Multiple'!$H$30,-N38,"")</f>
        <v/>
      </c>
      <c r="P38" s="146" t="str">
        <f>IF(13&lt;='Peer Inside An EBITDA Multiple'!$H$30,SUM(M38:O38),"")</f>
        <v/>
      </c>
      <c r="Q38" s="146" t="str">
        <f>IF(14&lt;='Peer Inside An EBITDA Multiple'!$H$30,-'Peer Inside An EBITDA Multiple'!V49,"")</f>
        <v/>
      </c>
      <c r="R38" s="146" t="str">
        <f>IF(14&lt;='Peer Inside An EBITDA Multiple'!$H$30,-Q38,"")</f>
        <v/>
      </c>
      <c r="S38" s="146" t="str">
        <f>IF(14&lt;='Peer Inside An EBITDA Multiple'!$H$30,SUM(P38:R38),"")</f>
        <v/>
      </c>
      <c r="T38" s="146" t="str">
        <f>IF(15&lt;='Peer Inside An EBITDA Multiple'!$H$30,-'Peer Inside An EBITDA Multiple'!W49,"")</f>
        <v/>
      </c>
      <c r="U38" s="146" t="str">
        <f>IF(15&lt;='Peer Inside An EBITDA Multiple'!$H$30,-T38,"")</f>
        <v/>
      </c>
      <c r="V38" s="146" t="str">
        <f>IF(15&lt;='Peer Inside An EBITDA Multiple'!$H$30,SUM(S38:U38),"")</f>
        <v/>
      </c>
    </row>
    <row r="39" spans="2:22" ht="12" customHeight="1">
      <c r="B39" s="155" t="str">
        <f>IF('Peer Inside An EBITDA Multiple'!$H$30&gt;10,B26+11,"")</f>
        <v/>
      </c>
      <c r="D39" s="139" t="str">
        <f>IF('Peer Inside An EBITDA Multiple'!$H$30&gt;10,D26,"")</f>
        <v/>
      </c>
      <c r="E39" s="136"/>
      <c r="F39" s="144" t="str">
        <f>IF('Peer Inside An EBITDA Multiple'!$H$30&gt;10,"["&amp;TEXT('Peer Inside An EBITDA Multiple'!$C$39,"0")&amp;"]/["&amp;'Peer Inside An EBITDA Multiple'!C$30&amp;"]","")</f>
        <v/>
      </c>
      <c r="G39" s="146" t="str">
        <f>IF('Peer Inside An EBITDA Multiple'!$H$30&gt;G32,V26,"")</f>
        <v/>
      </c>
      <c r="H39" s="146" t="str">
        <f>IF(11&lt;='Peer Inside An EBITDA Multiple'!$H$30,T26,"")</f>
        <v/>
      </c>
      <c r="I39" s="146" t="str">
        <f>IF(11&lt;='Peer Inside An EBITDA Multiple'!$H$30,-H39,"")</f>
        <v/>
      </c>
      <c r="J39" s="146" t="str">
        <f>IF(11&lt;='Peer Inside An EBITDA Multiple'!$H$30,SUM(G39:I39),"")</f>
        <v/>
      </c>
      <c r="K39" s="146" t="str">
        <f>IF(12&lt;='Peer Inside An EBITDA Multiple'!$H$30,H39,"")</f>
        <v/>
      </c>
      <c r="L39" s="146" t="str">
        <f>IF(12&lt;='Peer Inside An EBITDA Multiple'!$H$30,-K39,"")</f>
        <v/>
      </c>
      <c r="M39" s="146" t="str">
        <f>IF(12&lt;='Peer Inside An EBITDA Multiple'!$H$30,SUM(J39:L39),"")</f>
        <v/>
      </c>
      <c r="N39" s="146" t="str">
        <f>IF(13&lt;='Peer Inside An EBITDA Multiple'!$H$30,K39,"")</f>
        <v/>
      </c>
      <c r="O39" s="146" t="str">
        <f>IF(13&lt;='Peer Inside An EBITDA Multiple'!$H$30,-N39,"")</f>
        <v/>
      </c>
      <c r="P39" s="146" t="str">
        <f>IF(13&lt;='Peer Inside An EBITDA Multiple'!$H$30,SUM(M39:O39),"")</f>
        <v/>
      </c>
      <c r="Q39" s="146" t="str">
        <f>IF(14&lt;='Peer Inside An EBITDA Multiple'!$H$30,N39,"")</f>
        <v/>
      </c>
      <c r="R39" s="146" t="str">
        <f>IF(14&lt;='Peer Inside An EBITDA Multiple'!$H$30,-Q39,"")</f>
        <v/>
      </c>
      <c r="S39" s="146" t="str">
        <f>IF(14&lt;='Peer Inside An EBITDA Multiple'!$H$30,SUM(P39:R39),"")</f>
        <v/>
      </c>
      <c r="T39" s="146" t="str">
        <f>IF(15&lt;='Peer Inside An EBITDA Multiple'!$H$30,Q39,"")</f>
        <v/>
      </c>
      <c r="U39" s="146" t="str">
        <f>IF(15&lt;='Peer Inside An EBITDA Multiple'!$H$30,-T39,"")</f>
        <v/>
      </c>
      <c r="V39" s="146" t="str">
        <f>IF(15&lt;='Peer Inside An EBITDA Multiple'!$H$30,SUM(S39:U39),"")</f>
        <v/>
      </c>
    </row>
    <row r="40" spans="2:22" ht="12" customHeight="1">
      <c r="B40" s="155" t="str">
        <f>IF('Peer Inside An EBITDA Multiple'!$H$30&gt;10,B27+11,"")</f>
        <v/>
      </c>
      <c r="D40" s="139" t="str">
        <f>IF('Peer Inside An EBITDA Multiple'!$H$30&gt;10,D27,"")</f>
        <v/>
      </c>
      <c r="E40" s="136"/>
      <c r="F40" s="144" t="str">
        <f>IF('Peer Inside An EBITDA Multiple'!$H$30&gt;10,"-["&amp;TEXT(B36,"0")&amp;"]*["&amp;TEXT('Peer Inside An EBITDA Multiple'!$C$11,"0")&amp;"]","")</f>
        <v/>
      </c>
      <c r="G40" s="146" t="str">
        <f>IF('Peer Inside An EBITDA Multiple'!$H$30&gt;G32,V27,"")</f>
        <v/>
      </c>
      <c r="H40" s="146" t="str">
        <f>IF(11&lt;='Peer Inside An EBITDA Multiple'!$H$30,-V23*'Peer Inside An EBITDA Multiple'!$H$11,"")</f>
        <v/>
      </c>
      <c r="I40" s="146" t="str">
        <f>IF(11&lt;='Peer Inside An EBITDA Multiple'!$H$30,-H40,"")</f>
        <v/>
      </c>
      <c r="J40" s="146" t="str">
        <f>IF(11&lt;='Peer Inside An EBITDA Multiple'!$H$30,SUM(G40:I40),"")</f>
        <v/>
      </c>
      <c r="K40" s="146" t="str">
        <f>IF(12&lt;='Peer Inside An EBITDA Multiple'!$H$30,-J36*'Peer Inside An EBITDA Multiple'!$H$11,"")</f>
        <v/>
      </c>
      <c r="L40" s="146" t="str">
        <f>IF(12&lt;='Peer Inside An EBITDA Multiple'!$H$30,-K40,"")</f>
        <v/>
      </c>
      <c r="M40" s="146" t="str">
        <f>IF(12&lt;='Peer Inside An EBITDA Multiple'!$H$30,SUM(J40:L40),"")</f>
        <v/>
      </c>
      <c r="N40" s="146" t="str">
        <f>IF(13&lt;='Peer Inside An EBITDA Multiple'!$H$30,-M36*'Peer Inside An EBITDA Multiple'!$H$11,"")</f>
        <v/>
      </c>
      <c r="O40" s="146" t="str">
        <f>IF(13&lt;='Peer Inside An EBITDA Multiple'!$H$30,-N40,"")</f>
        <v/>
      </c>
      <c r="P40" s="146" t="str">
        <f>IF(13&lt;='Peer Inside An EBITDA Multiple'!$H$30,SUM(M40:O40),"")</f>
        <v/>
      </c>
      <c r="Q40" s="146" t="str">
        <f>IF(14&lt;='Peer Inside An EBITDA Multiple'!$H$30,-P36*'Peer Inside An EBITDA Multiple'!$H$11,"")</f>
        <v/>
      </c>
      <c r="R40" s="146" t="str">
        <f>IF(14&lt;='Peer Inside An EBITDA Multiple'!$H$30,-Q40,"")</f>
        <v/>
      </c>
      <c r="S40" s="146" t="str">
        <f>IF(14&lt;='Peer Inside An EBITDA Multiple'!$H$30,SUM(P40:R40),"")</f>
        <v/>
      </c>
      <c r="T40" s="146" t="str">
        <f>IF(15&lt;='Peer Inside An EBITDA Multiple'!$H$30,-S36*'Peer Inside An EBITDA Multiple'!$H$11,"")</f>
        <v/>
      </c>
      <c r="U40" s="146" t="str">
        <f>IF(15&lt;='Peer Inside An EBITDA Multiple'!$H$30,-T40,"")</f>
        <v/>
      </c>
      <c r="V40" s="146" t="str">
        <f>IF(15&lt;='Peer Inside An EBITDA Multiple'!$H$30,SUM(S40:U40),"")</f>
        <v/>
      </c>
    </row>
    <row r="41" spans="2:22" ht="12" customHeight="1">
      <c r="B41" s="155" t="str">
        <f>IF('Peer Inside An EBITDA Multiple'!$H$30&gt;10,B28+11,"")</f>
        <v/>
      </c>
      <c r="D41" s="139" t="str">
        <f>IF('Peer Inside An EBITDA Multiple'!$H$30&gt;10,D28,"")</f>
        <v/>
      </c>
      <c r="E41" s="136"/>
      <c r="F41" s="144" t="str">
        <f>IF('Peer Inside An EBITDA Multiple'!$H$30&gt;10,"-["&amp;TEXT(B35,"0")&amp;"]*["&amp;'Peer Inside An EBITDA Multiple'!$C$9&amp;"]","")</f>
        <v/>
      </c>
      <c r="G41" s="146" t="str">
        <f>IF('Peer Inside An EBITDA Multiple'!$H$30&gt;G32,V28,"")</f>
        <v/>
      </c>
      <c r="H41" s="146" t="str">
        <f>IF(11&lt;='Peer Inside An EBITDA Multiple'!$H$30,-V22*'Peer Inside An EBITDA Multiple'!$H9,"")</f>
        <v/>
      </c>
      <c r="I41" s="146" t="str">
        <f>IF(11&lt;='Peer Inside An EBITDA Multiple'!$H$30,-H41,"")</f>
        <v/>
      </c>
      <c r="J41" s="146" t="str">
        <f>IF(11&lt;='Peer Inside An EBITDA Multiple'!$H$30,SUM(G41:I41),"")</f>
        <v/>
      </c>
      <c r="K41" s="146" t="str">
        <f>IF(12&lt;='Peer Inside An EBITDA Multiple'!$H$30,-J35*'Peer Inside An EBITDA Multiple'!$H9,"")</f>
        <v/>
      </c>
      <c r="L41" s="146" t="str">
        <f>IF(12&lt;='Peer Inside An EBITDA Multiple'!$H$30,-K41,"")</f>
        <v/>
      </c>
      <c r="M41" s="146" t="str">
        <f>IF(12&lt;='Peer Inside An EBITDA Multiple'!$H$30,SUM(J41:L41),"")</f>
        <v/>
      </c>
      <c r="N41" s="146" t="str">
        <f>IF(13&lt;='Peer Inside An EBITDA Multiple'!$H$30,-M35*'Peer Inside An EBITDA Multiple'!$H9,"")</f>
        <v/>
      </c>
      <c r="O41" s="146" t="str">
        <f>IF(13&lt;='Peer Inside An EBITDA Multiple'!$H$30,-N41,"")</f>
        <v/>
      </c>
      <c r="P41" s="146" t="str">
        <f>IF(13&lt;='Peer Inside An EBITDA Multiple'!$H$30,SUM(M41:O41),"")</f>
        <v/>
      </c>
      <c r="Q41" s="146" t="str">
        <f>IF(14&lt;='Peer Inside An EBITDA Multiple'!$H$30,-P35*'Peer Inside An EBITDA Multiple'!$H9,"")</f>
        <v/>
      </c>
      <c r="R41" s="146" t="str">
        <f>IF(14&lt;='Peer Inside An EBITDA Multiple'!$H$30,-Q41,"")</f>
        <v/>
      </c>
      <c r="S41" s="146" t="str">
        <f>IF(14&lt;='Peer Inside An EBITDA Multiple'!$H$30,SUM(P41:R41),"")</f>
        <v/>
      </c>
      <c r="T41" s="146" t="str">
        <f>IF(15&lt;='Peer Inside An EBITDA Multiple'!$H$30,-S35*'Peer Inside An EBITDA Multiple'!$H9,"")</f>
        <v/>
      </c>
      <c r="U41" s="146" t="str">
        <f>IF(15&lt;='Peer Inside An EBITDA Multiple'!$H$30,-T41,"")</f>
        <v/>
      </c>
      <c r="V41" s="146" t="str">
        <f>IF(15&lt;='Peer Inside An EBITDA Multiple'!$H$30,SUM(S41:U41),"")</f>
        <v/>
      </c>
    </row>
    <row r="42" spans="2:22" ht="12" customHeight="1">
      <c r="B42" s="155" t="str">
        <f>IF('Peer Inside An EBITDA Multiple'!$H$30&gt;10,B29+11,"")</f>
        <v/>
      </c>
      <c r="D42" s="139" t="str">
        <f>IF('Peer Inside An EBITDA Multiple'!$H$30&gt;10,D29,"")</f>
        <v/>
      </c>
      <c r="E42" s="136"/>
      <c r="F42" s="144" t="str">
        <f>IF('Peer Inside An EBITDA Multiple'!$H$30&gt;10,"-SUM(["&amp;TEXT(B38,"0")&amp;"]:["&amp;TEXT(B41,"0")&amp;"])*["&amp;'Peer Inside An EBITDA Multiple'!$C$12&amp;"]","")</f>
        <v/>
      </c>
      <c r="G42" s="146" t="str">
        <f>IF('Peer Inside An EBITDA Multiple'!$H$30&gt;G32,V29,"")</f>
        <v/>
      </c>
      <c r="H42" s="146" t="str">
        <f>IF(11&lt;='Peer Inside An EBITDA Multiple'!$H$30,-SUM(H38:H41)*'Peer Inside An EBITDA Multiple'!$H$12,"")</f>
        <v/>
      </c>
      <c r="I42" s="146" t="str">
        <f>IF(11&lt;='Peer Inside An EBITDA Multiple'!$H$30,-H42,"")</f>
        <v/>
      </c>
      <c r="J42" s="146" t="str">
        <f>IF(11&lt;='Peer Inside An EBITDA Multiple'!$H$30,SUM(G42:I42),"")</f>
        <v/>
      </c>
      <c r="K42" s="146" t="str">
        <f>IF(12&lt;='Peer Inside An EBITDA Multiple'!$H$30,-SUM(K38:K41)*'Peer Inside An EBITDA Multiple'!$H$12,"")</f>
        <v/>
      </c>
      <c r="L42" s="146" t="str">
        <f>IF(12&lt;='Peer Inside An EBITDA Multiple'!$H$30,-K42,"")</f>
        <v/>
      </c>
      <c r="M42" s="146" t="str">
        <f>IF(12&lt;='Peer Inside An EBITDA Multiple'!$H$30,SUM(J42:L42),"")</f>
        <v/>
      </c>
      <c r="N42" s="146" t="str">
        <f>IF(13&lt;='Peer Inside An EBITDA Multiple'!$H$30,-SUM(N38:N41)*'Peer Inside An EBITDA Multiple'!$H$12,"")</f>
        <v/>
      </c>
      <c r="O42" s="146" t="str">
        <f>IF(13&lt;='Peer Inside An EBITDA Multiple'!$H$30,-N42,"")</f>
        <v/>
      </c>
      <c r="P42" s="146" t="str">
        <f>IF(13&lt;='Peer Inside An EBITDA Multiple'!$H$30,SUM(M42:O42),"")</f>
        <v/>
      </c>
      <c r="Q42" s="146" t="str">
        <f>IF(14&lt;='Peer Inside An EBITDA Multiple'!$H$30,-SUM(Q38:Q41)*'Peer Inside An EBITDA Multiple'!$H$12,"")</f>
        <v/>
      </c>
      <c r="R42" s="146" t="str">
        <f>IF(14&lt;='Peer Inside An EBITDA Multiple'!$H$30,-Q42,"")</f>
        <v/>
      </c>
      <c r="S42" s="146" t="str">
        <f>IF(14&lt;='Peer Inside An EBITDA Multiple'!$H$30,SUM(P42:R42),"")</f>
        <v/>
      </c>
      <c r="T42" s="146" t="str">
        <f>IF(15&lt;='Peer Inside An EBITDA Multiple'!$H$30,-SUM(T38:T41)*'Peer Inside An EBITDA Multiple'!$H$12,"")</f>
        <v/>
      </c>
      <c r="U42" s="146" t="str">
        <f>IF(15&lt;='Peer Inside An EBITDA Multiple'!$H$30,-T42,"")</f>
        <v/>
      </c>
      <c r="V42" s="146" t="str">
        <f>IF(15&lt;='Peer Inside An EBITDA Multiple'!$H$30,SUM(S42:U42),"")</f>
        <v/>
      </c>
    </row>
    <row r="43" spans="2:22" ht="12.75" customHeight="1" thickBot="1">
      <c r="B43" s="155" t="str">
        <f>IF('Peer Inside An EBITDA Multiple'!$H$30&gt;10,B30+11,"")</f>
        <v/>
      </c>
      <c r="D43" s="139" t="str">
        <f>IF('Peer Inside An EBITDA Multiple'!$H$30&gt;10,D30,"")</f>
        <v/>
      </c>
      <c r="E43" s="136"/>
      <c r="F43" s="144" t="str">
        <f>IF('Peer Inside An EBITDA Multiple'!$H$30&gt;10,"SUM(["&amp;TEXT(B33,"0")&amp;"]:["&amp;TEXT(B42,"0")&amp;"])","")</f>
        <v/>
      </c>
      <c r="G43" s="151" t="str">
        <f>IF(V19&lt;'Peer Inside An EBITDA Multiple'!$H$30,ABS(SUM(G33:G42)),"")</f>
        <v/>
      </c>
      <c r="H43" s="151" t="str">
        <f>IF(J32&lt;='Peer Inside An EBITDA Multiple'!$H$30,ABS(SUM(H33:H42)),"")</f>
        <v/>
      </c>
      <c r="I43" s="151" t="str">
        <f>IF(J32&lt;='Peer Inside An EBITDA Multiple'!$H$30,ABS(SUM(I33:I42)),"")</f>
        <v/>
      </c>
      <c r="J43" s="151" t="str">
        <f>IF(J32&lt;='Peer Inside An EBITDA Multiple'!$H$30,ABS(SUM(J33:J42)),"")</f>
        <v/>
      </c>
      <c r="K43" s="151" t="str">
        <f>IF(M32&lt;='Peer Inside An EBITDA Multiple'!$H$30,ABS(SUM(K33:K42)),"")</f>
        <v/>
      </c>
      <c r="L43" s="151" t="str">
        <f>IF(M32&lt;='Peer Inside An EBITDA Multiple'!$H$30,ABS(SUM(L33:L42)),"")</f>
        <v/>
      </c>
      <c r="M43" s="151" t="str">
        <f>IF(M32&lt;='Peer Inside An EBITDA Multiple'!$H$30,ABS(SUM(M33:M42)),"")</f>
        <v/>
      </c>
      <c r="N43" s="151" t="str">
        <f>IF(P32&lt;='Peer Inside An EBITDA Multiple'!$H$30,ABS(SUM(N33:N42)),"")</f>
        <v/>
      </c>
      <c r="O43" s="151" t="str">
        <f>IF(P32&lt;='Peer Inside An EBITDA Multiple'!$H$30,ABS(SUM(O33:O42)),"")</f>
        <v/>
      </c>
      <c r="P43" s="151" t="str">
        <f>IF(P32&lt;='Peer Inside An EBITDA Multiple'!$H$30,ABS(SUM(P33:P42)),"")</f>
        <v/>
      </c>
      <c r="Q43" s="151" t="str">
        <f>IF(S32&lt;='Peer Inside An EBITDA Multiple'!$H$30,ABS(SUM(Q33:Q42)),"")</f>
        <v/>
      </c>
      <c r="R43" s="151" t="str">
        <f>IF(S32&lt;='Peer Inside An EBITDA Multiple'!$H$30,ABS(SUM(R33:R42)),"")</f>
        <v/>
      </c>
      <c r="S43" s="151" t="str">
        <f>IF(S32&lt;='Peer Inside An EBITDA Multiple'!$H$30,ABS(SUM(S33:S42)),"")</f>
        <v/>
      </c>
      <c r="T43" s="151" t="str">
        <f>IF(V32&lt;='Peer Inside An EBITDA Multiple'!$H$30,ABS(SUM(T33:T42)),"")</f>
        <v/>
      </c>
      <c r="U43" s="151" t="str">
        <f>IF(V32&lt;='Peer Inside An EBITDA Multiple'!$H$30,ABS(SUM(U33:U42)),"")</f>
        <v/>
      </c>
      <c r="V43" s="151" t="str">
        <f>IF(V32&lt;='Peer Inside An EBITDA Multiple'!$H$30,ABS(SUM(V33:V42)),"")</f>
        <v/>
      </c>
    </row>
    <row r="44" spans="2:22" ht="9" customHeight="1" thickTop="1"/>
    <row r="45" spans="2:22" ht="12" customHeight="1">
      <c r="D45" s="138" t="str">
        <f>IF('Peer Inside An EBITDA Multiple'!$H$30&gt;15,IF('Peer Inside An EBITDA Multiple'!$H$30=16,"Trial Balance 16","Trial Balances 16 - "&amp;IF('Peer Inside An EBITDA Multiple'!$H$30&lt;=19,'Peer Inside An EBITDA Multiple'!$H$30,"20")),"")</f>
        <v/>
      </c>
      <c r="E45" s="138"/>
      <c r="F45" s="143"/>
      <c r="G45" s="149" t="str">
        <f>IF(V32&lt;'Peer Inside An EBITDA Multiple'!$H$30,V32,"")</f>
        <v/>
      </c>
      <c r="H45" s="149" t="str">
        <f>IF(G45&lt;'Peer Inside An EBITDA Multiple'!$H$30,"Activity","")</f>
        <v/>
      </c>
      <c r="I45" s="149" t="str">
        <f>IF(G45&lt;'Peer Inside An EBITDA Multiple'!$H$30,"Close","")</f>
        <v/>
      </c>
      <c r="J45" s="150" t="str">
        <f>IF(G45&lt;'Peer Inside An EBITDA Multiple'!$H$30,G45+1,"")</f>
        <v/>
      </c>
      <c r="K45" s="149" t="str">
        <f>IF(J45&lt;'Peer Inside An EBITDA Multiple'!$H$30,"Activity","")</f>
        <v/>
      </c>
      <c r="L45" s="149" t="str">
        <f>IF(J45&lt;'Peer Inside An EBITDA Multiple'!$H$30,"Close","")</f>
        <v/>
      </c>
      <c r="M45" s="150" t="str">
        <f>IF(J45&lt;'Peer Inside An EBITDA Multiple'!$H$30,J45+1,"")</f>
        <v/>
      </c>
      <c r="N45" s="149" t="str">
        <f>IF(M45&lt;'Peer Inside An EBITDA Multiple'!$H$30,"Activity","")</f>
        <v/>
      </c>
      <c r="O45" s="149" t="str">
        <f>IF(M45&lt;'Peer Inside An EBITDA Multiple'!$H$30,"Close","")</f>
        <v/>
      </c>
      <c r="P45" s="150" t="str">
        <f>IF(M45&lt;'Peer Inside An EBITDA Multiple'!$H$30,M45+1,"")</f>
        <v/>
      </c>
      <c r="Q45" s="149" t="str">
        <f>IF(P45&lt;'Peer Inside An EBITDA Multiple'!$H$30,"Activity","")</f>
        <v/>
      </c>
      <c r="R45" s="149" t="str">
        <f>IF(P45&lt;'Peer Inside An EBITDA Multiple'!$H$30,"Close","")</f>
        <v/>
      </c>
      <c r="S45" s="150" t="str">
        <f>IF(P45&lt;'Peer Inside An EBITDA Multiple'!$H$30,P45+1,"")</f>
        <v/>
      </c>
      <c r="T45" s="149" t="str">
        <f>IF(S45&lt;'Peer Inside An EBITDA Multiple'!$H$30,"Activity","")</f>
        <v/>
      </c>
      <c r="U45" s="149" t="str">
        <f>IF(S45&lt;'Peer Inside An EBITDA Multiple'!$H$30,"Close","")</f>
        <v/>
      </c>
      <c r="V45" s="150" t="str">
        <f>IF(S45&lt;'Peer Inside An EBITDA Multiple'!$H$30,S45+1,"")</f>
        <v/>
      </c>
    </row>
    <row r="46" spans="2:22" ht="12" customHeight="1">
      <c r="B46" s="155" t="str">
        <f>IF('Peer Inside An EBITDA Multiple'!$H$30&gt;15,B33+11,"")</f>
        <v/>
      </c>
      <c r="D46" s="139" t="str">
        <f>IF('Peer Inside An EBITDA Multiple'!$H$30&gt;15,D33,"")</f>
        <v/>
      </c>
      <c r="E46" s="136"/>
      <c r="F46" s="145" t="str">
        <f>IF('Peer Inside An EBITDA Multiple'!$H$30&gt;15,"["&amp;'Peer Inside An EBITDA Multiple'!$C$39&amp;"]","")</f>
        <v/>
      </c>
      <c r="G46" s="146" t="str">
        <f>IF('Peer Inside An EBITDA Multiple'!$H$30&gt;G45,V33,"")</f>
        <v/>
      </c>
      <c r="I46" s="146" t="str">
        <f>IF(16&lt;'Peer Inside An EBITDA Multiple'!$H$30,"",IF(16='Peer Inside An EBITDA Multiple'!$H$30,-V33,""))</f>
        <v/>
      </c>
      <c r="J46" s="146" t="str">
        <f>IF(16&lt;='Peer Inside An EBITDA Multiple'!$H$30,SUM(G46:I46),"")</f>
        <v/>
      </c>
      <c r="L46" s="146" t="str">
        <f>IF(17&lt;'Peer Inside An EBITDA Multiple'!$H$30,"",IF(17='Peer Inside An EBITDA Multiple'!$H$30,-J46,""))</f>
        <v/>
      </c>
      <c r="M46" s="146" t="str">
        <f>IF(17&lt;='Peer Inside An EBITDA Multiple'!$H$30,SUM(J46:L46),"")</f>
        <v/>
      </c>
      <c r="O46" s="146" t="str">
        <f>IF(18&lt;'Peer Inside An EBITDA Multiple'!$H$30,"",IF(18='Peer Inside An EBITDA Multiple'!$H$30,-M46,""))</f>
        <v/>
      </c>
      <c r="P46" s="146" t="str">
        <f>IF(18&lt;='Peer Inside An EBITDA Multiple'!$H$30,SUM(M46:O46),"")</f>
        <v/>
      </c>
      <c r="R46" s="146" t="str">
        <f>IF(19&lt;'Peer Inside An EBITDA Multiple'!$H$30,"",IF(19='Peer Inside An EBITDA Multiple'!$H$30,-P46,""))</f>
        <v/>
      </c>
      <c r="S46" s="146" t="str">
        <f>IF(19&lt;='Peer Inside An EBITDA Multiple'!$H$30,SUM(P46:R46),"")</f>
        <v/>
      </c>
      <c r="U46" s="146" t="str">
        <f>IF(20&lt;'Peer Inside An EBITDA Multiple'!$H$30,"",IF(20='Peer Inside An EBITDA Multiple'!$H$30,-S46,""))</f>
        <v/>
      </c>
      <c r="V46" s="146" t="str">
        <f>IF(20&lt;='Peer Inside An EBITDA Multiple'!$H$30,SUM(S46:U46),"")</f>
        <v/>
      </c>
    </row>
    <row r="47" spans="2:22" ht="12" customHeight="1">
      <c r="B47" s="155" t="str">
        <f>IF('Peer Inside An EBITDA Multiple'!$H$30&gt;15,B34+11,"")</f>
        <v/>
      </c>
      <c r="D47" s="139" t="str">
        <f>IF('Peer Inside An EBITDA Multiple'!$H$30&gt;15,D34,"")</f>
        <v/>
      </c>
      <c r="E47" s="136"/>
      <c r="F47" s="144" t="str">
        <f>IF('Peer Inside An EBITDA Multiple'!$H$30&gt;15,"["&amp;TEXT(B47,"0")&amp;"]-["&amp;TEXT(B52,"0")&amp;"]","")</f>
        <v/>
      </c>
      <c r="G47" s="146" t="str">
        <f>IF('Peer Inside An EBITDA Multiple'!$H$30&gt;G45,V34,"")</f>
        <v/>
      </c>
      <c r="H47" s="146" t="str">
        <f>IF(16&lt;='Peer Inside An EBITDA Multiple'!$H$30,-H52,"")</f>
        <v/>
      </c>
      <c r="I47" s="146" t="str">
        <f>IF(16='Peer Inside An EBITDA Multiple'!$H$30,-I46,"")</f>
        <v/>
      </c>
      <c r="J47" s="146" t="str">
        <f>IF(16='Peer Inside An EBITDA Multiple'!$H$30,SUM(G47:I47),IF(16&lt;='Peer Inside An EBITDA Multiple'!$H$30,G47-H52,""))</f>
        <v/>
      </c>
      <c r="K47" s="146" t="str">
        <f>IF(17&lt;='Peer Inside An EBITDA Multiple'!$H$30,-K52,"")</f>
        <v/>
      </c>
      <c r="L47" s="146" t="str">
        <f>IF(17='Peer Inside An EBITDA Multiple'!$H$30,-L46,"")</f>
        <v/>
      </c>
      <c r="M47" s="146" t="str">
        <f>IF(17='Peer Inside An EBITDA Multiple'!$H$30,SUM(J47:L47),IF(17&lt;='Peer Inside An EBITDA Multiple'!$H$30,J47-K52,""))</f>
        <v/>
      </c>
      <c r="N47" s="146" t="str">
        <f>IF(18&lt;='Peer Inside An EBITDA Multiple'!$H$30,-N52,"")</f>
        <v/>
      </c>
      <c r="O47" s="146" t="str">
        <f>IF(18='Peer Inside An EBITDA Multiple'!$H$30,-O46,"")</f>
        <v/>
      </c>
      <c r="P47" s="146" t="str">
        <f>IF(18='Peer Inside An EBITDA Multiple'!$H$30,SUM(M47:O47),IF(18&lt;='Peer Inside An EBITDA Multiple'!$H$30,M47-N52,""))</f>
        <v/>
      </c>
      <c r="Q47" s="146" t="str">
        <f>IF(19&lt;='Peer Inside An EBITDA Multiple'!$H$30,-Q52,"")</f>
        <v/>
      </c>
      <c r="R47" s="146" t="str">
        <f>IF(19='Peer Inside An EBITDA Multiple'!$H$30,-R46,"")</f>
        <v/>
      </c>
      <c r="S47" s="146" t="str">
        <f>IF(19='Peer Inside An EBITDA Multiple'!$H$30,SUM(P47:R47),IF(19&lt;='Peer Inside An EBITDA Multiple'!$H$30,P47-Q52,""))</f>
        <v/>
      </c>
      <c r="T47" s="146" t="str">
        <f>IF(20&lt;='Peer Inside An EBITDA Multiple'!$H$30,-T52,"")</f>
        <v/>
      </c>
      <c r="U47" s="146" t="str">
        <f>IF(20='Peer Inside An EBITDA Multiple'!$H$30,-U46,"")</f>
        <v/>
      </c>
      <c r="V47" s="146" t="str">
        <f>IF(20='Peer Inside An EBITDA Multiple'!$H$30,SUM(S47:U47),IF(20&lt;='Peer Inside An EBITDA Multiple'!$H$30,S47-T52,""))</f>
        <v/>
      </c>
    </row>
    <row r="48" spans="2:22" ht="12" customHeight="1">
      <c r="B48" s="155" t="str">
        <f>IF('Peer Inside An EBITDA Multiple'!$H$30&gt;15,B35+11,"")</f>
        <v/>
      </c>
      <c r="D48" s="139" t="str">
        <f>IF('Peer Inside An EBITDA Multiple'!$H$30&gt;15,D35,"")</f>
        <v/>
      </c>
      <c r="E48" s="136"/>
      <c r="F48" s="144" t="str">
        <f>IF('Peer Inside An EBITDA Multiple'!$H$30&gt;15,"-SUM(["&amp;TEXT(B46,"0")&amp;"]:["&amp;TEXT(B47,"0")&amp;"],["&amp;TEXT(B49,"0")&amp;"]:["&amp;TEXT(B55,"0")&amp;"])","")</f>
        <v/>
      </c>
      <c r="G48" s="146" t="str">
        <f>IF('Peer Inside An EBITDA Multiple'!$H$30&gt;G45,V35,"")</f>
        <v/>
      </c>
      <c r="H48" s="146" t="str">
        <f>IF(16&lt;='Peer Inside An EBITDA Multiple'!$H$30,-SUM(H46:H47,H49:H55),"")</f>
        <v/>
      </c>
      <c r="J48" s="146" t="str">
        <f>IF(16='Peer Inside An EBITDA Multiple'!$H$30,ABS(SUM(G48:I48)),IF(16&lt;'Peer Inside An EBITDA Multiple'!$H$30,SUM(G48:I48),""))</f>
        <v/>
      </c>
      <c r="K48" s="146" t="str">
        <f>IF(17&lt;='Peer Inside An EBITDA Multiple'!$H$30,-SUM(K46:K47,K49:K55),"")</f>
        <v/>
      </c>
      <c r="M48" s="146" t="str">
        <f>IF(17='Peer Inside An EBITDA Multiple'!$H$30,ABS(SUM(J48:L48)),IF(17&lt;'Peer Inside An EBITDA Multiple'!$H$30,SUM(J48:L48),""))</f>
        <v/>
      </c>
      <c r="N48" s="146" t="str">
        <f>IF(18&lt;='Peer Inside An EBITDA Multiple'!$H$30,-SUM(N46:N47,N49:N55),"")</f>
        <v/>
      </c>
      <c r="P48" s="146" t="str">
        <f>IF(18='Peer Inside An EBITDA Multiple'!$H$30,ABS(SUM(M48:O48)),IF(18&lt;'Peer Inside An EBITDA Multiple'!$H$30,SUM(M48:O48),""))</f>
        <v/>
      </c>
      <c r="Q48" s="146" t="str">
        <f>IF(19&lt;='Peer Inside An EBITDA Multiple'!$H$30,-SUM(Q46:Q47,Q49:Q55),"")</f>
        <v/>
      </c>
      <c r="S48" s="146" t="str">
        <f>IF(19='Peer Inside An EBITDA Multiple'!$H$30,ABS(SUM(P48:R48)),IF(19&lt;'Peer Inside An EBITDA Multiple'!$H$30,SUM(P48:R48),""))</f>
        <v/>
      </c>
      <c r="T48" s="146" t="str">
        <f>IF(20&lt;='Peer Inside An EBITDA Multiple'!$H$30,-SUM(T46:T47,T49:T55),"")</f>
        <v/>
      </c>
      <c r="V48" s="146" t="str">
        <f>IF(20='Peer Inside An EBITDA Multiple'!$H$30,ABS(SUM(S48:U48)),IF(20&lt;'Peer Inside An EBITDA Multiple'!$H$30,SUM(S48:U48),""))</f>
        <v/>
      </c>
    </row>
    <row r="49" spans="2:22" ht="12" customHeight="1">
      <c r="B49" s="155" t="str">
        <f>IF('Peer Inside An EBITDA Multiple'!$H$30&gt;15,B36+11,"")</f>
        <v/>
      </c>
      <c r="D49" s="139" t="str">
        <f>IF('Peer Inside An EBITDA Multiple'!$H$30&gt;15,D36,"")</f>
        <v/>
      </c>
      <c r="E49" s="136"/>
      <c r="F49" s="144" t="str">
        <f>IF('Peer Inside An EBITDA Multiple'!$H$30&gt;15,"-["&amp;'Peer Inside An EBITDA Multiple'!$C$44&amp;"]*["&amp;'Peer Inside An EBITDA Multiple'!$C$10&amp;"]","")</f>
        <v/>
      </c>
      <c r="G49" s="146" t="str">
        <f>IF('Peer Inside An EBITDA Multiple'!$H$30&gt;G45,V36,"")</f>
        <v/>
      </c>
      <c r="H49" s="146" t="str">
        <f>IF(16&lt;='Peer Inside An EBITDA Multiple'!$H$30,-'Peer Inside An EBITDA Multiple'!X59,"")</f>
        <v/>
      </c>
      <c r="J49" s="146" t="str">
        <f>IF(16='Peer Inside An EBITDA Multiple'!$H$30,ABS(SUM(G49:I49)),IF(16&lt;'Peer Inside An EBITDA Multiple'!$H$30,SUM(G49:I49),""))</f>
        <v/>
      </c>
      <c r="K49" s="146" t="str">
        <f>IF(17&lt;='Peer Inside An EBITDA Multiple'!$H$30,-'Peer Inside An EBITDA Multiple'!Y59,"")</f>
        <v/>
      </c>
      <c r="M49" s="146" t="str">
        <f>IF(17='Peer Inside An EBITDA Multiple'!$H$30,ABS(SUM(J49:L49)),IF(17&lt;'Peer Inside An EBITDA Multiple'!$H$30,SUM(J49:L49),""))</f>
        <v/>
      </c>
      <c r="N49" s="146" t="str">
        <f>IF(18&lt;='Peer Inside An EBITDA Multiple'!$H$30,-'Peer Inside An EBITDA Multiple'!Z59,"")</f>
        <v/>
      </c>
      <c r="P49" s="146" t="str">
        <f>IF(18='Peer Inside An EBITDA Multiple'!$H$30,ABS(SUM(M49:O49)),IF(18&lt;'Peer Inside An EBITDA Multiple'!$H$30,SUM(M49:O49),""))</f>
        <v/>
      </c>
      <c r="Q49" s="146" t="str">
        <f>IF(19&lt;='Peer Inside An EBITDA Multiple'!$H$30,-'Peer Inside An EBITDA Multiple'!AA59,"")</f>
        <v/>
      </c>
      <c r="S49" s="146" t="str">
        <f>IF(19='Peer Inside An EBITDA Multiple'!$H$30,ABS(SUM(P49:R49)),IF(19&lt;'Peer Inside An EBITDA Multiple'!$H$30,SUM(P49:R49),""))</f>
        <v/>
      </c>
      <c r="T49" s="146" t="str">
        <f>IF(20&lt;='Peer Inside An EBITDA Multiple'!$H$30,-'Peer Inside An EBITDA Multiple'!AB59,"")</f>
        <v/>
      </c>
      <c r="V49" s="146" t="str">
        <f>IF(20='Peer Inside An EBITDA Multiple'!$H$30,ABS(SUM(S49:U49)),IF(20&lt;'Peer Inside An EBITDA Multiple'!$H$30,SUM(S49:U49),""))</f>
        <v/>
      </c>
    </row>
    <row r="50" spans="2:22" ht="12" customHeight="1">
      <c r="B50" s="155" t="str">
        <f>IF('Peer Inside An EBITDA Multiple'!$H$30&gt;15,B37+11,"")</f>
        <v/>
      </c>
      <c r="D50" s="139" t="str">
        <f>IF('Peer Inside An EBITDA Multiple'!$H$30&gt;15,D37,"")</f>
        <v/>
      </c>
      <c r="E50" s="136"/>
      <c r="F50" s="144" t="str">
        <f>IF('Peer Inside An EBITDA Multiple'!$H$30&gt;15,"-["&amp;'Peer Inside An EBITDA Multiple'!$C$44&amp;"]*(1-["&amp;'Peer Inside An EBITDA Multiple'!$C$10&amp;"])","")</f>
        <v/>
      </c>
      <c r="G50" s="146" t="str">
        <f>IF('Peer Inside An EBITDA Multiple'!$H$30&gt;G45,V37,"")</f>
        <v/>
      </c>
      <c r="H50" s="146" t="str">
        <f>IF(16&lt;='Peer Inside An EBITDA Multiple'!$H$30,J50-V37-I50,"")</f>
        <v/>
      </c>
      <c r="I50" s="146" t="str">
        <f>IF(16&lt;='Peer Inside An EBITDA Multiple'!$H$30,-SUM(I51:I55),"")</f>
        <v/>
      </c>
      <c r="J50" s="146" t="str">
        <f>IF(16='Peer Inside An EBITDA Multiple'!$H$30,0,IF(16&lt;'Peer Inside An EBITDA Multiple'!$H$30,-'Peer Inside An EBITDA Multiple'!X66,""))</f>
        <v/>
      </c>
      <c r="K50" s="146" t="str">
        <f>IF(17&lt;='Peer Inside An EBITDA Multiple'!$H$30,M50-J50-L50,"")</f>
        <v/>
      </c>
      <c r="L50" s="146" t="str">
        <f>IF(17&lt;='Peer Inside An EBITDA Multiple'!$H$30,-SUM(L51:L55),"")</f>
        <v/>
      </c>
      <c r="M50" s="146" t="str">
        <f>IF(17='Peer Inside An EBITDA Multiple'!$H$30,0,IF(17&lt;'Peer Inside An EBITDA Multiple'!$H$30,-'Peer Inside An EBITDA Multiple'!Y66,""))</f>
        <v/>
      </c>
      <c r="N50" s="146" t="str">
        <f>IF(18&lt;='Peer Inside An EBITDA Multiple'!$H$30,P50-M50-O50,"")</f>
        <v/>
      </c>
      <c r="O50" s="146" t="str">
        <f>IF(18&lt;='Peer Inside An EBITDA Multiple'!$H$30,-SUM(O51:O55),"")</f>
        <v/>
      </c>
      <c r="P50" s="146" t="str">
        <f>IF(18='Peer Inside An EBITDA Multiple'!$H$30,0,IF(18&lt;'Peer Inside An EBITDA Multiple'!$H$30,-'Peer Inside An EBITDA Multiple'!Z66,""))</f>
        <v/>
      </c>
      <c r="Q50" s="146" t="str">
        <f>IF(19&lt;='Peer Inside An EBITDA Multiple'!$H$30,S50-P50-R50,"")</f>
        <v/>
      </c>
      <c r="R50" s="146" t="str">
        <f>IF(19&lt;='Peer Inside An EBITDA Multiple'!$H$30,-SUM(R51:R55),"")</f>
        <v/>
      </c>
      <c r="S50" s="146" t="str">
        <f>IF(19='Peer Inside An EBITDA Multiple'!$H$30,0,IF(19&lt;'Peer Inside An EBITDA Multiple'!$H$30,-'Peer Inside An EBITDA Multiple'!AA66,""))</f>
        <v/>
      </c>
      <c r="T50" s="146" t="str">
        <f>IF(20&lt;='Peer Inside An EBITDA Multiple'!$H$30,V50-S50-U50,"")</f>
        <v/>
      </c>
      <c r="U50" s="146" t="str">
        <f>IF(20&lt;='Peer Inside An EBITDA Multiple'!$H$30,-SUM(U51:U55),"")</f>
        <v/>
      </c>
      <c r="V50" s="146" t="str">
        <f>IF(20='Peer Inside An EBITDA Multiple'!$H$30,0,IF(20&lt;'Peer Inside An EBITDA Multiple'!$H$30,-'Peer Inside An EBITDA Multiple'!AB66,""))</f>
        <v/>
      </c>
    </row>
    <row r="51" spans="2:22" ht="12" customHeight="1">
      <c r="B51" s="155" t="str">
        <f>IF('Peer Inside An EBITDA Multiple'!$H$30&gt;15,B38+11,"")</f>
        <v/>
      </c>
      <c r="D51" s="139" t="str">
        <f>IF('Peer Inside An EBITDA Multiple'!$H$30&gt;15,D38,"")</f>
        <v/>
      </c>
      <c r="E51" s="136"/>
      <c r="F51" s="144" t="str">
        <f>IF('Peer Inside An EBITDA Multiple'!$H$30&gt;15,"["&amp;TEXT('Peer Inside An EBITDA Multiple'!$C$46,"0")&amp;"]","")</f>
        <v/>
      </c>
      <c r="G51" s="146" t="str">
        <f>IF('Peer Inside An EBITDA Multiple'!$H$30&gt;G45,V38,"")</f>
        <v/>
      </c>
      <c r="H51" s="146" t="str">
        <f>IF(16&lt;='Peer Inside An EBITDA Multiple'!$H$30,-'Peer Inside An EBITDA Multiple'!X49,"")</f>
        <v/>
      </c>
      <c r="I51" s="146" t="str">
        <f>IF(16&lt;='Peer Inside An EBITDA Multiple'!$H$30,-H51,"")</f>
        <v/>
      </c>
      <c r="J51" s="146" t="str">
        <f>IF(16&lt;='Peer Inside An EBITDA Multiple'!$H$30,SUM(G51:I51),"")</f>
        <v/>
      </c>
      <c r="K51" s="146" t="str">
        <f>IF(17&lt;='Peer Inside An EBITDA Multiple'!$H$30,-'Peer Inside An EBITDA Multiple'!Y49,"")</f>
        <v/>
      </c>
      <c r="L51" s="146" t="str">
        <f>IF(17&lt;='Peer Inside An EBITDA Multiple'!$H$30,-K51,"")</f>
        <v/>
      </c>
      <c r="M51" s="146" t="str">
        <f>IF(17&lt;='Peer Inside An EBITDA Multiple'!$H$30,SUM(J51:L51),"")</f>
        <v/>
      </c>
      <c r="N51" s="146" t="str">
        <f>IF(18&lt;='Peer Inside An EBITDA Multiple'!$H$30,-'Peer Inside An EBITDA Multiple'!Z49,"")</f>
        <v/>
      </c>
      <c r="O51" s="146" t="str">
        <f>IF(18&lt;='Peer Inside An EBITDA Multiple'!$H$30,-N51,"")</f>
        <v/>
      </c>
      <c r="P51" s="146" t="str">
        <f>IF(18&lt;='Peer Inside An EBITDA Multiple'!$H$30,SUM(M51:O51),"")</f>
        <v/>
      </c>
      <c r="Q51" s="146" t="str">
        <f>IF(19&lt;='Peer Inside An EBITDA Multiple'!$H$30,-'Peer Inside An EBITDA Multiple'!AA49,"")</f>
        <v/>
      </c>
      <c r="R51" s="146" t="str">
        <f>IF(19&lt;='Peer Inside An EBITDA Multiple'!$H$30,-Q51,"")</f>
        <v/>
      </c>
      <c r="S51" s="146" t="str">
        <f>IF(19&lt;='Peer Inside An EBITDA Multiple'!$H$30,SUM(P51:R51),"")</f>
        <v/>
      </c>
      <c r="T51" s="146" t="str">
        <f>IF(20&lt;='Peer Inside An EBITDA Multiple'!$H$30,-'Peer Inside An EBITDA Multiple'!AB49,"")</f>
        <v/>
      </c>
      <c r="U51" s="146" t="str">
        <f>IF(20&lt;='Peer Inside An EBITDA Multiple'!$H$30,-T51,"")</f>
        <v/>
      </c>
      <c r="V51" s="146" t="str">
        <f>IF(20&lt;='Peer Inside An EBITDA Multiple'!$H$30,SUM(S51:U51),"")</f>
        <v/>
      </c>
    </row>
    <row r="52" spans="2:22" ht="12" customHeight="1">
      <c r="B52" s="155" t="str">
        <f>IF('Peer Inside An EBITDA Multiple'!$H$30&gt;15,B39+11,"")</f>
        <v/>
      </c>
      <c r="D52" s="139" t="str">
        <f>IF('Peer Inside An EBITDA Multiple'!$H$30&gt;15,D39,"")</f>
        <v/>
      </c>
      <c r="E52" s="136"/>
      <c r="F52" s="144" t="str">
        <f>IF('Peer Inside An EBITDA Multiple'!$H$30&gt;15,"["&amp;TEXT('Peer Inside An EBITDA Multiple'!$C$39,"0")&amp;"]/["&amp;'Peer Inside An EBITDA Multiple'!C$30&amp;"]","")</f>
        <v/>
      </c>
      <c r="G52" s="146" t="str">
        <f>IF('Peer Inside An EBITDA Multiple'!$H$30&gt;G45,V39,"")</f>
        <v/>
      </c>
      <c r="H52" s="146" t="str">
        <f>IF(16&lt;='Peer Inside An EBITDA Multiple'!$H$30,T39,"")</f>
        <v/>
      </c>
      <c r="I52" s="146" t="str">
        <f>IF(16&lt;='Peer Inside An EBITDA Multiple'!$H$30,-H52,"")</f>
        <v/>
      </c>
      <c r="J52" s="146" t="str">
        <f>IF(16&lt;='Peer Inside An EBITDA Multiple'!$H$30,SUM(G52:I52),"")</f>
        <v/>
      </c>
      <c r="K52" s="146" t="str">
        <f>IF(17&lt;='Peer Inside An EBITDA Multiple'!$H$30,H52,"")</f>
        <v/>
      </c>
      <c r="L52" s="146" t="str">
        <f>IF(17&lt;='Peer Inside An EBITDA Multiple'!$H$30,-K52,"")</f>
        <v/>
      </c>
      <c r="M52" s="146" t="str">
        <f>IF(17&lt;='Peer Inside An EBITDA Multiple'!$H$30,SUM(J52:L52),"")</f>
        <v/>
      </c>
      <c r="N52" s="146" t="str">
        <f>IF(18&lt;='Peer Inside An EBITDA Multiple'!$H$30,K52,"")</f>
        <v/>
      </c>
      <c r="O52" s="146" t="str">
        <f>IF(18&lt;='Peer Inside An EBITDA Multiple'!$H$30,-N52,"")</f>
        <v/>
      </c>
      <c r="P52" s="146" t="str">
        <f>IF(18&lt;='Peer Inside An EBITDA Multiple'!$H$30,SUM(M52:O52),"")</f>
        <v/>
      </c>
      <c r="Q52" s="146" t="str">
        <f>IF(19&lt;='Peer Inside An EBITDA Multiple'!$H$30,N52,"")</f>
        <v/>
      </c>
      <c r="R52" s="146" t="str">
        <f>IF(19&lt;='Peer Inside An EBITDA Multiple'!$H$30,-Q52,"")</f>
        <v/>
      </c>
      <c r="S52" s="146" t="str">
        <f>IF(19&lt;='Peer Inside An EBITDA Multiple'!$H$30,SUM(P52:R52),"")</f>
        <v/>
      </c>
      <c r="T52" s="146" t="str">
        <f>IF(20&lt;='Peer Inside An EBITDA Multiple'!$H$30,Q52,"")</f>
        <v/>
      </c>
      <c r="U52" s="146" t="str">
        <f>IF(20&lt;='Peer Inside An EBITDA Multiple'!$H$30,-T52,"")</f>
        <v/>
      </c>
      <c r="V52" s="146" t="str">
        <f>IF(20&lt;='Peer Inside An EBITDA Multiple'!$H$30,SUM(S52:U52),"")</f>
        <v/>
      </c>
    </row>
    <row r="53" spans="2:22" ht="12" customHeight="1">
      <c r="B53" s="155" t="str">
        <f>IF('Peer Inside An EBITDA Multiple'!$H$30&gt;15,B40+11,"")</f>
        <v/>
      </c>
      <c r="D53" s="139" t="str">
        <f>IF('Peer Inside An EBITDA Multiple'!$H$30&gt;15,D40,"")</f>
        <v/>
      </c>
      <c r="E53" s="136"/>
      <c r="F53" s="144" t="str">
        <f>IF('Peer Inside An EBITDA Multiple'!$H$30&gt;15,"-["&amp;TEXT(B49,"0")&amp;"]*["&amp;TEXT('Peer Inside An EBITDA Multiple'!$C$11,"0")&amp;"]","")</f>
        <v/>
      </c>
      <c r="G53" s="146" t="str">
        <f>IF('Peer Inside An EBITDA Multiple'!$H$30&gt;G45,V40,"")</f>
        <v/>
      </c>
      <c r="H53" s="146" t="str">
        <f>IF(16&lt;='Peer Inside An EBITDA Multiple'!$H$30,-V36*'Peer Inside An EBITDA Multiple'!$H$11,"")</f>
        <v/>
      </c>
      <c r="I53" s="146" t="str">
        <f>IF(16&lt;='Peer Inside An EBITDA Multiple'!$H$30,-H53,"")</f>
        <v/>
      </c>
      <c r="J53" s="146" t="str">
        <f>IF(16&lt;='Peer Inside An EBITDA Multiple'!$H$30,SUM(G53:I53),"")</f>
        <v/>
      </c>
      <c r="K53" s="146" t="str">
        <f>IF(17&lt;='Peer Inside An EBITDA Multiple'!$H$30,-J49*'Peer Inside An EBITDA Multiple'!$H$11,"")</f>
        <v/>
      </c>
      <c r="L53" s="146" t="str">
        <f>IF(17&lt;='Peer Inside An EBITDA Multiple'!$H$30,-K53,"")</f>
        <v/>
      </c>
      <c r="M53" s="146" t="str">
        <f>IF(17&lt;='Peer Inside An EBITDA Multiple'!$H$30,SUM(J53:L53),"")</f>
        <v/>
      </c>
      <c r="N53" s="146" t="str">
        <f>IF(18&lt;='Peer Inside An EBITDA Multiple'!$H$30,-M49*'Peer Inside An EBITDA Multiple'!$H$11,"")</f>
        <v/>
      </c>
      <c r="O53" s="146" t="str">
        <f>IF(18&lt;='Peer Inside An EBITDA Multiple'!$H$30,-N53,"")</f>
        <v/>
      </c>
      <c r="P53" s="146" t="str">
        <f>IF(18&lt;='Peer Inside An EBITDA Multiple'!$H$30,SUM(M53:O53),"")</f>
        <v/>
      </c>
      <c r="Q53" s="146" t="str">
        <f>IF(19&lt;='Peer Inside An EBITDA Multiple'!$H$30,-P49*'Peer Inside An EBITDA Multiple'!$H$11,"")</f>
        <v/>
      </c>
      <c r="R53" s="146" t="str">
        <f>IF(19&lt;='Peer Inside An EBITDA Multiple'!$H$30,-Q53,"")</f>
        <v/>
      </c>
      <c r="S53" s="146" t="str">
        <f>IF(19&lt;='Peer Inside An EBITDA Multiple'!$H$30,SUM(P53:R53),"")</f>
        <v/>
      </c>
      <c r="T53" s="146" t="str">
        <f>IF(20&lt;='Peer Inside An EBITDA Multiple'!$H$30,-S49*'Peer Inside An EBITDA Multiple'!$H$11,"")</f>
        <v/>
      </c>
      <c r="U53" s="146" t="str">
        <f>IF(20&lt;='Peer Inside An EBITDA Multiple'!$H$30,-T53,"")</f>
        <v/>
      </c>
      <c r="V53" s="146" t="str">
        <f>IF(20&lt;='Peer Inside An EBITDA Multiple'!$H$30,SUM(S53:U53),"")</f>
        <v/>
      </c>
    </row>
    <row r="54" spans="2:22" ht="12" customHeight="1">
      <c r="B54" s="155" t="str">
        <f>IF('Peer Inside An EBITDA Multiple'!$H$30&gt;15,B41+11,"")</f>
        <v/>
      </c>
      <c r="D54" s="139" t="str">
        <f>IF('Peer Inside An EBITDA Multiple'!$H$30&gt;15,D41,"")</f>
        <v/>
      </c>
      <c r="E54" s="136"/>
      <c r="F54" s="144" t="str">
        <f>IF('Peer Inside An EBITDA Multiple'!$H$30&gt;15,"-["&amp;TEXT(B48,"0")&amp;"]*["&amp;'Peer Inside An EBITDA Multiple'!$C$9&amp;"]","")</f>
        <v/>
      </c>
      <c r="G54" s="146" t="str">
        <f>IF('Peer Inside An EBITDA Multiple'!$H$30&gt;G45,V41,"")</f>
        <v/>
      </c>
      <c r="H54" s="146" t="str">
        <f>IF(16&lt;='Peer Inside An EBITDA Multiple'!$H$30,-V35*'Peer Inside An EBITDA Multiple'!$H9,"")</f>
        <v/>
      </c>
      <c r="I54" s="146" t="str">
        <f>IF(16&lt;='Peer Inside An EBITDA Multiple'!$H$30,-H54,"")</f>
        <v/>
      </c>
      <c r="J54" s="146" t="str">
        <f>IF(16&lt;='Peer Inside An EBITDA Multiple'!$H$30,SUM(G54:I54),"")</f>
        <v/>
      </c>
      <c r="K54" s="146" t="str">
        <f>IF(17&lt;='Peer Inside An EBITDA Multiple'!$H$30,-J48*'Peer Inside An EBITDA Multiple'!$H9,"")</f>
        <v/>
      </c>
      <c r="L54" s="146" t="str">
        <f>IF(17&lt;='Peer Inside An EBITDA Multiple'!$H$30,-K54,"")</f>
        <v/>
      </c>
      <c r="M54" s="146" t="str">
        <f>IF(17&lt;='Peer Inside An EBITDA Multiple'!$H$30,SUM(J54:L54),"")</f>
        <v/>
      </c>
      <c r="N54" s="146" t="str">
        <f>IF(18&lt;='Peer Inside An EBITDA Multiple'!$H$30,-M48*'Peer Inside An EBITDA Multiple'!$H9,"")</f>
        <v/>
      </c>
      <c r="O54" s="146" t="str">
        <f>IF(18&lt;='Peer Inside An EBITDA Multiple'!$H$30,-N54,"")</f>
        <v/>
      </c>
      <c r="P54" s="146" t="str">
        <f>IF(18&lt;='Peer Inside An EBITDA Multiple'!$H$30,SUM(M54:O54),"")</f>
        <v/>
      </c>
      <c r="Q54" s="146" t="str">
        <f>IF(19&lt;='Peer Inside An EBITDA Multiple'!$H$30,-P48*'Peer Inside An EBITDA Multiple'!$H9,"")</f>
        <v/>
      </c>
      <c r="R54" s="146" t="str">
        <f>IF(19&lt;='Peer Inside An EBITDA Multiple'!$H$30,-Q54,"")</f>
        <v/>
      </c>
      <c r="S54" s="146" t="str">
        <f>IF(19&lt;='Peer Inside An EBITDA Multiple'!$H$30,SUM(P54:R54),"")</f>
        <v/>
      </c>
      <c r="T54" s="146" t="str">
        <f>IF(20&lt;='Peer Inside An EBITDA Multiple'!$H$30,-S48*'Peer Inside An EBITDA Multiple'!$H9,"")</f>
        <v/>
      </c>
      <c r="U54" s="146" t="str">
        <f>IF(20&lt;='Peer Inside An EBITDA Multiple'!$H$30,-T54,"")</f>
        <v/>
      </c>
      <c r="V54" s="146" t="str">
        <f>IF(20&lt;='Peer Inside An EBITDA Multiple'!$H$30,SUM(S54:U54),"")</f>
        <v/>
      </c>
    </row>
    <row r="55" spans="2:22" ht="12" customHeight="1">
      <c r="B55" s="155" t="str">
        <f>IF('Peer Inside An EBITDA Multiple'!$H$30&gt;15,B42+11,"")</f>
        <v/>
      </c>
      <c r="D55" s="139" t="str">
        <f>IF('Peer Inside An EBITDA Multiple'!$H$30&gt;15,D42,"")</f>
        <v/>
      </c>
      <c r="E55" s="136"/>
      <c r="F55" s="144" t="str">
        <f>IF('Peer Inside An EBITDA Multiple'!$H$30&gt;15,"-SUM(["&amp;TEXT(B51,"0")&amp;"]:["&amp;TEXT(B54,"0")&amp;"])*["&amp;'Peer Inside An EBITDA Multiple'!$C$12&amp;"]","")</f>
        <v/>
      </c>
      <c r="G55" s="146" t="str">
        <f>IF('Peer Inside An EBITDA Multiple'!$H$30&gt;G45,V42,"")</f>
        <v/>
      </c>
      <c r="H55" s="146" t="str">
        <f>IF(16&lt;='Peer Inside An EBITDA Multiple'!$H$30,-SUM(H51:H54)*'Peer Inside An EBITDA Multiple'!$H$12,"")</f>
        <v/>
      </c>
      <c r="I55" s="146" t="str">
        <f>IF(16&lt;='Peer Inside An EBITDA Multiple'!$H$30,-H55,"")</f>
        <v/>
      </c>
      <c r="J55" s="146" t="str">
        <f>IF(16&lt;='Peer Inside An EBITDA Multiple'!$H$30,SUM(G55:I55),"")</f>
        <v/>
      </c>
      <c r="K55" s="146" t="str">
        <f>IF(17&lt;='Peer Inside An EBITDA Multiple'!$H$30,-SUM(K51:K54)*'Peer Inside An EBITDA Multiple'!$H$12,"")</f>
        <v/>
      </c>
      <c r="L55" s="146" t="str">
        <f>IF(17&lt;='Peer Inside An EBITDA Multiple'!$H$30,-K55,"")</f>
        <v/>
      </c>
      <c r="M55" s="146" t="str">
        <f>IF(17&lt;='Peer Inside An EBITDA Multiple'!$H$30,SUM(J55:L55),"")</f>
        <v/>
      </c>
      <c r="N55" s="146" t="str">
        <f>IF(18&lt;='Peer Inside An EBITDA Multiple'!$H$30,-SUM(N51:N54)*'Peer Inside An EBITDA Multiple'!$H$12,"")</f>
        <v/>
      </c>
      <c r="O55" s="146" t="str">
        <f>IF(18&lt;='Peer Inside An EBITDA Multiple'!$H$30,-N55,"")</f>
        <v/>
      </c>
      <c r="P55" s="146" t="str">
        <f>IF(18&lt;='Peer Inside An EBITDA Multiple'!$H$30,SUM(M55:O55),"")</f>
        <v/>
      </c>
      <c r="Q55" s="146" t="str">
        <f>IF(19&lt;='Peer Inside An EBITDA Multiple'!$H$30,-SUM(Q51:Q54)*'Peer Inside An EBITDA Multiple'!$H$12,"")</f>
        <v/>
      </c>
      <c r="R55" s="146" t="str">
        <f>IF(19&lt;='Peer Inside An EBITDA Multiple'!$H$30,-Q55,"")</f>
        <v/>
      </c>
      <c r="S55" s="146" t="str">
        <f>IF(19&lt;='Peer Inside An EBITDA Multiple'!$H$30,SUM(P55:R55),"")</f>
        <v/>
      </c>
      <c r="T55" s="146" t="str">
        <f>IF(20&lt;='Peer Inside An EBITDA Multiple'!$H$30,-SUM(T51:T54)*'Peer Inside An EBITDA Multiple'!$H$12,"")</f>
        <v/>
      </c>
      <c r="U55" s="146" t="str">
        <f>IF(20&lt;='Peer Inside An EBITDA Multiple'!$H$30,-T55,"")</f>
        <v/>
      </c>
      <c r="V55" s="146" t="str">
        <f>IF(20&lt;='Peer Inside An EBITDA Multiple'!$H$30,SUM(S55:U55),"")</f>
        <v/>
      </c>
    </row>
    <row r="56" spans="2:22" ht="12" customHeight="1" thickBot="1">
      <c r="B56" s="155" t="str">
        <f>IF('Peer Inside An EBITDA Multiple'!$H$30&gt;15,B43+11,"")</f>
        <v/>
      </c>
      <c r="D56" s="139" t="str">
        <f>IF('Peer Inside An EBITDA Multiple'!$H$30&gt;15,D43,"")</f>
        <v/>
      </c>
      <c r="E56" s="136"/>
      <c r="F56" s="144" t="str">
        <f>IF('Peer Inside An EBITDA Multiple'!$H$30&gt;15,"SUM(["&amp;TEXT(B46,"0")&amp;"]:["&amp;TEXT(B55,"0")&amp;"])","")</f>
        <v/>
      </c>
      <c r="G56" s="151" t="str">
        <f>IF(V32&lt;'Peer Inside An EBITDA Multiple'!$H$30,ABS(SUM(G46:G55)),"")</f>
        <v/>
      </c>
      <c r="H56" s="151" t="str">
        <f>IF(J45&lt;='Peer Inside An EBITDA Multiple'!$H$30,ABS(SUM(H46:H55)),"")</f>
        <v/>
      </c>
      <c r="I56" s="151" t="str">
        <f>IF(J45&lt;='Peer Inside An EBITDA Multiple'!$H$30,ABS(SUM(I46:I55)),"")</f>
        <v/>
      </c>
      <c r="J56" s="151" t="str">
        <f>IF(J45&lt;='Peer Inside An EBITDA Multiple'!$H$30,ABS(SUM(J46:J55)),"")</f>
        <v/>
      </c>
      <c r="K56" s="151" t="str">
        <f>IF(M45&lt;='Peer Inside An EBITDA Multiple'!$H$30,ABS(SUM(K46:K55)),"")</f>
        <v/>
      </c>
      <c r="L56" s="151" t="str">
        <f>IF(M45&lt;='Peer Inside An EBITDA Multiple'!$H$30,ABS(SUM(L46:L55)),"")</f>
        <v/>
      </c>
      <c r="M56" s="151" t="str">
        <f>IF(M45&lt;='Peer Inside An EBITDA Multiple'!$H$30,ABS(SUM(M46:M55)),"")</f>
        <v/>
      </c>
      <c r="N56" s="151" t="str">
        <f>IF(P45&lt;='Peer Inside An EBITDA Multiple'!$H$30,ABS(SUM(N46:N55)),"")</f>
        <v/>
      </c>
      <c r="O56" s="151" t="str">
        <f>IF(P45&lt;='Peer Inside An EBITDA Multiple'!$H$30,ABS(SUM(O46:O55)),"")</f>
        <v/>
      </c>
      <c r="P56" s="151" t="str">
        <f>IF(P45&lt;='Peer Inside An EBITDA Multiple'!$H$30,ABS(SUM(P46:P55)),"")</f>
        <v/>
      </c>
      <c r="Q56" s="151" t="str">
        <f>IF(S45&lt;='Peer Inside An EBITDA Multiple'!$H$30,ABS(SUM(Q46:Q55)),"")</f>
        <v/>
      </c>
      <c r="R56" s="151" t="str">
        <f>IF(S45&lt;='Peer Inside An EBITDA Multiple'!$H$30,ABS(SUM(R46:R55)),"")</f>
        <v/>
      </c>
      <c r="S56" s="151" t="str">
        <f>IF(S45&lt;='Peer Inside An EBITDA Multiple'!$H$30,ABS(SUM(S46:S55)),"")</f>
        <v/>
      </c>
      <c r="T56" s="151" t="str">
        <f>IF(V45&lt;='Peer Inside An EBITDA Multiple'!$H$30,ABS(SUM(T46:T55)),"")</f>
        <v/>
      </c>
      <c r="U56" s="151" t="str">
        <f>IF(V45&lt;='Peer Inside An EBITDA Multiple'!$H$30,ABS(SUM(U46:U55)),"")</f>
        <v/>
      </c>
      <c r="V56" s="151" t="str">
        <f>IF(V45&lt;='Peer Inside An EBITDA Multiple'!$H$30,ABS(SUM(V46:V55)),"")</f>
        <v/>
      </c>
    </row>
    <row r="57" spans="2:22" ht="9" customHeight="1" thickTop="1"/>
    <row r="58" spans="2:22" ht="12" customHeight="1">
      <c r="D58" s="138" t="str">
        <f>IF('Peer Inside An EBITDA Multiple'!$H$30&gt;20,IF('Peer Inside An EBITDA Multiple'!$H$30=21,"Trial Balance 21","Trial Balances 21 - "&amp;IF('Peer Inside An EBITDA Multiple'!$H$30&lt;=24,'Peer Inside An EBITDA Multiple'!$H$30,"25")),"")</f>
        <v/>
      </c>
      <c r="E58" s="138"/>
      <c r="F58" s="143" t="str">
        <f>IF('Peer Inside An EBITDA Multiple'!$H$30&gt;20,"ref","")</f>
        <v/>
      </c>
      <c r="G58" s="149" t="str">
        <f>IF(V45&lt;'Peer Inside An EBITDA Multiple'!$H$30,V45,"")</f>
        <v/>
      </c>
      <c r="H58" s="149" t="str">
        <f>IF(G58&lt;'Peer Inside An EBITDA Multiple'!$H$30,"Activity","")</f>
        <v/>
      </c>
      <c r="I58" s="149" t="str">
        <f>IF(G58&lt;'Peer Inside An EBITDA Multiple'!$H$30,"Close","")</f>
        <v/>
      </c>
      <c r="J58" s="150" t="str">
        <f>IF(G58&lt;'Peer Inside An EBITDA Multiple'!$H$30,G58+1,"")</f>
        <v/>
      </c>
      <c r="K58" s="149" t="str">
        <f>IF(J58&lt;'Peer Inside An EBITDA Multiple'!$H$30,"Activity","")</f>
        <v/>
      </c>
      <c r="L58" s="149" t="str">
        <f>IF(J58&lt;'Peer Inside An EBITDA Multiple'!$H$30,"Close","")</f>
        <v/>
      </c>
      <c r="M58" s="150" t="str">
        <f>IF(J58&lt;'Peer Inside An EBITDA Multiple'!$H$30,J58+1,"")</f>
        <v/>
      </c>
      <c r="N58" s="149" t="str">
        <f>IF(M58&lt;'Peer Inside An EBITDA Multiple'!$H$30,"Activity","")</f>
        <v/>
      </c>
      <c r="O58" s="149" t="str">
        <f>IF(M58&lt;'Peer Inside An EBITDA Multiple'!$H$30,"Close","")</f>
        <v/>
      </c>
      <c r="P58" s="150" t="str">
        <f>IF(M58&lt;'Peer Inside An EBITDA Multiple'!$H$30,M58+1,"")</f>
        <v/>
      </c>
      <c r="Q58" s="149" t="str">
        <f>IF(P58&lt;'Peer Inside An EBITDA Multiple'!$H$30,"Activity","")</f>
        <v/>
      </c>
      <c r="R58" s="149" t="str">
        <f>IF(P58&lt;'Peer Inside An EBITDA Multiple'!$H$30,"Close","")</f>
        <v/>
      </c>
      <c r="S58" s="150" t="str">
        <f>IF(P58&lt;'Peer Inside An EBITDA Multiple'!$H$30,P58+1,"")</f>
        <v/>
      </c>
      <c r="T58" s="149" t="str">
        <f>IF(S58&lt;'Peer Inside An EBITDA Multiple'!$H$30,"Activity","")</f>
        <v/>
      </c>
      <c r="U58" s="149" t="str">
        <f>IF(S58&lt;'Peer Inside An EBITDA Multiple'!$H$30,"Close","")</f>
        <v/>
      </c>
      <c r="V58" s="150" t="str">
        <f>IF(S58&lt;'Peer Inside An EBITDA Multiple'!$H$30,S58+1,"")</f>
        <v/>
      </c>
    </row>
    <row r="59" spans="2:22" ht="12" customHeight="1">
      <c r="B59" s="155" t="str">
        <f>IF('Peer Inside An EBITDA Multiple'!$H$30&gt;20,B46+11,"")</f>
        <v/>
      </c>
      <c r="D59" s="139" t="str">
        <f>IF('Peer Inside An EBITDA Multiple'!$H$30&gt;20,D46,"")</f>
        <v/>
      </c>
      <c r="E59" s="136"/>
      <c r="F59" s="145" t="str">
        <f>IF('Peer Inside An EBITDA Multiple'!$H$30&gt;20,"["&amp;'Peer Inside An EBITDA Multiple'!$C$39&amp;"]","")</f>
        <v/>
      </c>
      <c r="G59" s="146" t="str">
        <f>IF('Peer Inside An EBITDA Multiple'!$H$30&gt;G58,V46,"")</f>
        <v/>
      </c>
      <c r="I59" s="146" t="str">
        <f>IF(21&lt;'Peer Inside An EBITDA Multiple'!$H$30,"",IF(21='Peer Inside An EBITDA Multiple'!$H$30,-V46,""))</f>
        <v/>
      </c>
      <c r="J59" s="146" t="str">
        <f>IF(21&lt;='Peer Inside An EBITDA Multiple'!$H$30,SUM(G59:I59),"")</f>
        <v/>
      </c>
      <c r="L59" s="146" t="str">
        <f>IF(22&lt;'Peer Inside An EBITDA Multiple'!$H$30,"",IF(22='Peer Inside An EBITDA Multiple'!$H$30,-J59,""))</f>
        <v/>
      </c>
      <c r="M59" s="146" t="str">
        <f>IF(22&lt;='Peer Inside An EBITDA Multiple'!$H$30,SUM(J59:L59),"")</f>
        <v/>
      </c>
      <c r="O59" s="146" t="str">
        <f>IF(23&lt;'Peer Inside An EBITDA Multiple'!$H$30,"",IF(23='Peer Inside An EBITDA Multiple'!$H$30,-M59,""))</f>
        <v/>
      </c>
      <c r="P59" s="146" t="str">
        <f>IF(23&lt;='Peer Inside An EBITDA Multiple'!$H$30,SUM(M59:O59),"")</f>
        <v/>
      </c>
      <c r="R59" s="146" t="str">
        <f>IF(24&lt;'Peer Inside An EBITDA Multiple'!$H$30,"",IF(24='Peer Inside An EBITDA Multiple'!$H$30,-P59,""))</f>
        <v/>
      </c>
      <c r="S59" s="146" t="str">
        <f>IF(24&lt;='Peer Inside An EBITDA Multiple'!$H$30,SUM(P59:R59),"")</f>
        <v/>
      </c>
      <c r="U59" s="146" t="str">
        <f>IF(25&lt;'Peer Inside An EBITDA Multiple'!$H$30,"",IF(25='Peer Inside An EBITDA Multiple'!$H$30,-S59,""))</f>
        <v/>
      </c>
      <c r="V59" s="146" t="str">
        <f>IF(25&lt;='Peer Inside An EBITDA Multiple'!$H$30,SUM(S59:U59),"")</f>
        <v/>
      </c>
    </row>
    <row r="60" spans="2:22" ht="12" customHeight="1">
      <c r="B60" s="155" t="str">
        <f>IF('Peer Inside An EBITDA Multiple'!$H$30&gt;20,B47+11,"")</f>
        <v/>
      </c>
      <c r="D60" s="139" t="str">
        <f>IF('Peer Inside An EBITDA Multiple'!$H$30&gt;20,D47,"")</f>
        <v/>
      </c>
      <c r="E60" s="136"/>
      <c r="F60" s="144" t="str">
        <f>IF('Peer Inside An EBITDA Multiple'!$H$30&gt;20,"["&amp;TEXT(B60,"0")&amp;"]-["&amp;TEXT(B65,"0")&amp;"]","")</f>
        <v/>
      </c>
      <c r="G60" s="146" t="str">
        <f>IF('Peer Inside An EBITDA Multiple'!$H$30&gt;G58,V47,"")</f>
        <v/>
      </c>
      <c r="H60" s="146" t="str">
        <f>IF(21&lt;='Peer Inside An EBITDA Multiple'!$H$30,-H65,"")</f>
        <v/>
      </c>
      <c r="I60" s="146" t="str">
        <f>IF(21='Peer Inside An EBITDA Multiple'!$H$30,-I59,"")</f>
        <v/>
      </c>
      <c r="J60" s="146" t="str">
        <f>IF(21='Peer Inside An EBITDA Multiple'!$H$30,SUM(G60:I60),IF(21&lt;='Peer Inside An EBITDA Multiple'!$H$30,G60-H65,""))</f>
        <v/>
      </c>
      <c r="K60" s="146" t="str">
        <f>IF(22&lt;='Peer Inside An EBITDA Multiple'!$H$30,-K65,"")</f>
        <v/>
      </c>
      <c r="L60" s="146" t="str">
        <f>IF(22='Peer Inside An EBITDA Multiple'!$H$30,-L59,"")</f>
        <v/>
      </c>
      <c r="M60" s="146" t="str">
        <f>IF(22='Peer Inside An EBITDA Multiple'!$H$30,SUM(J60:L60),IF(22&lt;='Peer Inside An EBITDA Multiple'!$H$30,J60-K65,""))</f>
        <v/>
      </c>
      <c r="N60" s="146" t="str">
        <f>IF(23&lt;='Peer Inside An EBITDA Multiple'!$H$30,-N65,"")</f>
        <v/>
      </c>
      <c r="O60" s="146" t="str">
        <f>IF(23='Peer Inside An EBITDA Multiple'!$H$30,-O59,"")</f>
        <v/>
      </c>
      <c r="P60" s="146" t="str">
        <f>IF(23='Peer Inside An EBITDA Multiple'!$H$30,SUM(M60:O60),IF(23&lt;='Peer Inside An EBITDA Multiple'!$H$30,M60-N65,""))</f>
        <v/>
      </c>
      <c r="Q60" s="146" t="str">
        <f>IF(24&lt;='Peer Inside An EBITDA Multiple'!$H$30,-Q65,"")</f>
        <v/>
      </c>
      <c r="R60" s="146" t="str">
        <f>IF(24='Peer Inside An EBITDA Multiple'!$H$30,-R59,"")</f>
        <v/>
      </c>
      <c r="S60" s="146" t="str">
        <f>IF(24='Peer Inside An EBITDA Multiple'!$H$30,SUM(P60:R60),IF(24&lt;='Peer Inside An EBITDA Multiple'!$H$30,P60-Q65,""))</f>
        <v/>
      </c>
      <c r="T60" s="146" t="str">
        <f>IF(25&lt;='Peer Inside An EBITDA Multiple'!$H$30,-T65,"")</f>
        <v/>
      </c>
      <c r="U60" s="146" t="str">
        <f>IF(25='Peer Inside An EBITDA Multiple'!$H$30,-U59,"")</f>
        <v/>
      </c>
      <c r="V60" s="146" t="str">
        <f>IF(25='Peer Inside An EBITDA Multiple'!$H$30,SUM(S60:U60),IF(25&lt;='Peer Inside An EBITDA Multiple'!$H$30,S60-T65,""))</f>
        <v/>
      </c>
    </row>
    <row r="61" spans="2:22" ht="12" customHeight="1">
      <c r="B61" s="155" t="str">
        <f>IF('Peer Inside An EBITDA Multiple'!$H$30&gt;20,B48+11,"")</f>
        <v/>
      </c>
      <c r="D61" s="139" t="str">
        <f>IF('Peer Inside An EBITDA Multiple'!$H$30&gt;20,D48,"")</f>
        <v/>
      </c>
      <c r="E61" s="136"/>
      <c r="F61" s="144" t="str">
        <f>IF('Peer Inside An EBITDA Multiple'!$H$30&gt;20,"-SUM(["&amp;TEXT(B59,"0")&amp;"]:["&amp;TEXT(B60,"0")&amp;"],["&amp;TEXT(B62,"0")&amp;"]:["&amp;TEXT(B68,"0")&amp;"])","")</f>
        <v/>
      </c>
      <c r="G61" s="146" t="str">
        <f>IF('Peer Inside An EBITDA Multiple'!$H$30&gt;G58,V48,"")</f>
        <v/>
      </c>
      <c r="H61" s="146" t="str">
        <f>IF(21&lt;='Peer Inside An EBITDA Multiple'!$H$30,-SUM(H59:H60,H62:H68),"")</f>
        <v/>
      </c>
      <c r="J61" s="146" t="str">
        <f>IF(21='Peer Inside An EBITDA Multiple'!$H$30,ABS(SUM(G61:I61)),IF(21&lt;'Peer Inside An EBITDA Multiple'!$H$30,SUM(G61:I61),""))</f>
        <v/>
      </c>
      <c r="K61" s="146" t="str">
        <f>IF(22&lt;='Peer Inside An EBITDA Multiple'!$H$30,-SUM(K59:K60,K62:K68),"")</f>
        <v/>
      </c>
      <c r="M61" s="146" t="str">
        <f>IF(22='Peer Inside An EBITDA Multiple'!$H$30,ABS(SUM(J61:L61)),IF(22&lt;'Peer Inside An EBITDA Multiple'!$H$30,SUM(J61:L61),""))</f>
        <v/>
      </c>
      <c r="N61" s="146" t="str">
        <f>IF(23&lt;='Peer Inside An EBITDA Multiple'!$H$30,-SUM(N59:N60,N62:N68),"")</f>
        <v/>
      </c>
      <c r="P61" s="146" t="str">
        <f>IF(23='Peer Inside An EBITDA Multiple'!$H$30,ABS(SUM(M61:O61)),IF(23&lt;'Peer Inside An EBITDA Multiple'!$H$30,SUM(M61:O61),""))</f>
        <v/>
      </c>
      <c r="Q61" s="146" t="str">
        <f>IF(24&lt;='Peer Inside An EBITDA Multiple'!$H$30,-SUM(Q59:Q60,Q62:Q68),"")</f>
        <v/>
      </c>
      <c r="S61" s="146" t="str">
        <f>IF(24='Peer Inside An EBITDA Multiple'!$H$30,ABS(SUM(P61:R61)),IF(24&lt;'Peer Inside An EBITDA Multiple'!$H$30,SUM(P61:R61),""))</f>
        <v/>
      </c>
      <c r="T61" s="146" t="str">
        <f>IF(25&lt;='Peer Inside An EBITDA Multiple'!$H$30,-SUM(T59:T60,T62:T68),"")</f>
        <v/>
      </c>
      <c r="V61" s="146" t="str">
        <f>IF(25='Peer Inside An EBITDA Multiple'!$H$30,ABS(SUM(S61:U61)),IF(25&lt;'Peer Inside An EBITDA Multiple'!$H$30,SUM(S61:U61),""))</f>
        <v/>
      </c>
    </row>
    <row r="62" spans="2:22" ht="12" customHeight="1">
      <c r="B62" s="155" t="str">
        <f>IF('Peer Inside An EBITDA Multiple'!$H$30&gt;20,B49+11,"")</f>
        <v/>
      </c>
      <c r="D62" s="139" t="str">
        <f>IF('Peer Inside An EBITDA Multiple'!$H$30&gt;20,D49,"")</f>
        <v/>
      </c>
      <c r="E62" s="136"/>
      <c r="F62" s="144" t="str">
        <f>IF('Peer Inside An EBITDA Multiple'!$H$30&gt;20,"-["&amp;'Peer Inside An EBITDA Multiple'!$C$44&amp;"]*["&amp;'Peer Inside An EBITDA Multiple'!$C$10&amp;"]","")</f>
        <v/>
      </c>
      <c r="G62" s="146" t="str">
        <f>IF('Peer Inside An EBITDA Multiple'!$H$30&gt;G58,V49,"")</f>
        <v/>
      </c>
      <c r="H62" s="146" t="str">
        <f>IF(21&lt;='Peer Inside An EBITDA Multiple'!$H$30,-'Peer Inside An EBITDA Multiple'!AC59,"")</f>
        <v/>
      </c>
      <c r="J62" s="146" t="str">
        <f>IF(21='Peer Inside An EBITDA Multiple'!$H$30,ABS(SUM(G62:I62)),IF(21&lt;'Peer Inside An EBITDA Multiple'!$H$30,SUM(G62:I62),""))</f>
        <v/>
      </c>
      <c r="K62" s="146" t="str">
        <f>IF(22&lt;='Peer Inside An EBITDA Multiple'!$H$30,-'Peer Inside An EBITDA Multiple'!AD59,"")</f>
        <v/>
      </c>
      <c r="M62" s="146" t="str">
        <f>IF(22='Peer Inside An EBITDA Multiple'!$H$30,ABS(SUM(J62:L62)),IF(22&lt;'Peer Inside An EBITDA Multiple'!$H$30,SUM(J62:L62),""))</f>
        <v/>
      </c>
      <c r="N62" s="146" t="str">
        <f>IF(23&lt;='Peer Inside An EBITDA Multiple'!$H$30,-'Peer Inside An EBITDA Multiple'!AE59,"")</f>
        <v/>
      </c>
      <c r="P62" s="146" t="str">
        <f>IF(23='Peer Inside An EBITDA Multiple'!$H$30,ABS(SUM(M62:O62)),IF(23&lt;'Peer Inside An EBITDA Multiple'!$H$30,SUM(M62:O62),""))</f>
        <v/>
      </c>
      <c r="Q62" s="146" t="str">
        <f>IF(24&lt;='Peer Inside An EBITDA Multiple'!$H$30,-'Peer Inside An EBITDA Multiple'!AF59,"")</f>
        <v/>
      </c>
      <c r="S62" s="146" t="str">
        <f>IF(24='Peer Inside An EBITDA Multiple'!$H$30,ABS(SUM(P62:R62)),IF(24&lt;'Peer Inside An EBITDA Multiple'!$H$30,SUM(P62:R62),""))</f>
        <v/>
      </c>
      <c r="T62" s="146" t="str">
        <f>IF(25&lt;='Peer Inside An EBITDA Multiple'!$H$30,-'Peer Inside An EBITDA Multiple'!AG59,"")</f>
        <v/>
      </c>
      <c r="V62" s="146" t="str">
        <f>IF(25='Peer Inside An EBITDA Multiple'!$H$30,ABS(SUM(S62:U62)),IF(25&lt;'Peer Inside An EBITDA Multiple'!$H$30,SUM(S62:U62),""))</f>
        <v/>
      </c>
    </row>
    <row r="63" spans="2:22" ht="12" customHeight="1">
      <c r="B63" s="155" t="str">
        <f>IF('Peer Inside An EBITDA Multiple'!$H$30&gt;20,B50+11,"")</f>
        <v/>
      </c>
      <c r="D63" s="139" t="str">
        <f>IF('Peer Inside An EBITDA Multiple'!$H$30&gt;20,D50,"")</f>
        <v/>
      </c>
      <c r="E63" s="136"/>
      <c r="F63" s="144" t="str">
        <f>IF('Peer Inside An EBITDA Multiple'!$H$30&gt;20,"-["&amp;'Peer Inside An EBITDA Multiple'!$C$44&amp;"]*(1-["&amp;'Peer Inside An EBITDA Multiple'!$C$10&amp;"])","")</f>
        <v/>
      </c>
      <c r="G63" s="146" t="str">
        <f>IF('Peer Inside An EBITDA Multiple'!$H$30&gt;G58,V50,"")</f>
        <v/>
      </c>
      <c r="H63" s="146" t="str">
        <f>IF(21&lt;='Peer Inside An EBITDA Multiple'!$H$30,J63-V50-I63,"")</f>
        <v/>
      </c>
      <c r="I63" s="146" t="str">
        <f>IF(21&lt;='Peer Inside An EBITDA Multiple'!$H$30,-SUM(I64:I68),"")</f>
        <v/>
      </c>
      <c r="J63" s="146" t="str">
        <f>IF(21='Peer Inside An EBITDA Multiple'!$H$30,0,IF(21&lt;'Peer Inside An EBITDA Multiple'!$H$30,-'Peer Inside An EBITDA Multiple'!AC66,""))</f>
        <v/>
      </c>
      <c r="K63" s="146" t="str">
        <f>IF(22&lt;='Peer Inside An EBITDA Multiple'!$H$30,M63-J63-L63,"")</f>
        <v/>
      </c>
      <c r="L63" s="146" t="str">
        <f>IF(22&lt;='Peer Inside An EBITDA Multiple'!$H$30,-SUM(L64:L68),"")</f>
        <v/>
      </c>
      <c r="M63" s="146" t="str">
        <f>IF(22='Peer Inside An EBITDA Multiple'!$H$30,0,IF(22&lt;'Peer Inside An EBITDA Multiple'!$H$30,-'Peer Inside An EBITDA Multiple'!AD66,""))</f>
        <v/>
      </c>
      <c r="N63" s="146" t="str">
        <f>IF(23&lt;='Peer Inside An EBITDA Multiple'!$H$30,P63-M63-O63,"")</f>
        <v/>
      </c>
      <c r="O63" s="146" t="str">
        <f>IF(23&lt;='Peer Inside An EBITDA Multiple'!$H$30,-SUM(O64:O68),"")</f>
        <v/>
      </c>
      <c r="P63" s="146" t="str">
        <f>IF(23='Peer Inside An EBITDA Multiple'!$H$30,0,IF(23&lt;'Peer Inside An EBITDA Multiple'!$H$30,-'Peer Inside An EBITDA Multiple'!AE66,""))</f>
        <v/>
      </c>
      <c r="Q63" s="146" t="str">
        <f>IF(24&lt;='Peer Inside An EBITDA Multiple'!$H$30,S63-P63-R63,"")</f>
        <v/>
      </c>
      <c r="R63" s="146" t="str">
        <f>IF(24&lt;='Peer Inside An EBITDA Multiple'!$H$30,-SUM(R64:R68),"")</f>
        <v/>
      </c>
      <c r="S63" s="146" t="str">
        <f>IF(24='Peer Inside An EBITDA Multiple'!$H$30,0,IF(24&lt;'Peer Inside An EBITDA Multiple'!$H$30,-'Peer Inside An EBITDA Multiple'!AF66,""))</f>
        <v/>
      </c>
      <c r="T63" s="146" t="str">
        <f>IF(25&lt;='Peer Inside An EBITDA Multiple'!$H$30,V63-S63-U63,"")</f>
        <v/>
      </c>
      <c r="U63" s="146" t="str">
        <f>IF(25&lt;='Peer Inside An EBITDA Multiple'!$H$30,-SUM(U64:U68),"")</f>
        <v/>
      </c>
      <c r="V63" s="146" t="str">
        <f>IF(25='Peer Inside An EBITDA Multiple'!$H$30,0,IF(25&lt;'Peer Inside An EBITDA Multiple'!$H$30,-'Peer Inside An EBITDA Multiple'!AG66,""))</f>
        <v/>
      </c>
    </row>
    <row r="64" spans="2:22" ht="12" customHeight="1">
      <c r="B64" s="155" t="str">
        <f>IF('Peer Inside An EBITDA Multiple'!$H$30&gt;20,B51+11,"")</f>
        <v/>
      </c>
      <c r="D64" s="139" t="str">
        <f>IF('Peer Inside An EBITDA Multiple'!$H$30&gt;20,D51,"")</f>
        <v/>
      </c>
      <c r="E64" s="136"/>
      <c r="F64" s="144" t="str">
        <f>IF('Peer Inside An EBITDA Multiple'!$H$30&gt;20,"["&amp;TEXT('Peer Inside An EBITDA Multiple'!$C$46,"0")&amp;"]","")</f>
        <v/>
      </c>
      <c r="G64" s="146" t="str">
        <f>IF('Peer Inside An EBITDA Multiple'!$H$30&gt;G58,V51,"")</f>
        <v/>
      </c>
      <c r="H64" s="146" t="str">
        <f>IF(21&lt;='Peer Inside An EBITDA Multiple'!$H$30,-'Peer Inside An EBITDA Multiple'!AC49,"")</f>
        <v/>
      </c>
      <c r="I64" s="146" t="str">
        <f>IF(21&lt;='Peer Inside An EBITDA Multiple'!$H$30,-H64,"")</f>
        <v/>
      </c>
      <c r="J64" s="146" t="str">
        <f>IF(21&lt;='Peer Inside An EBITDA Multiple'!$H$30,SUM(G64:I64),"")</f>
        <v/>
      </c>
      <c r="K64" s="146" t="str">
        <f>IF(22&lt;='Peer Inside An EBITDA Multiple'!$H$30,-'Peer Inside An EBITDA Multiple'!AD49,"")</f>
        <v/>
      </c>
      <c r="L64" s="146" t="str">
        <f>IF(22&lt;='Peer Inside An EBITDA Multiple'!$H$30,-K64,"")</f>
        <v/>
      </c>
      <c r="M64" s="146" t="str">
        <f>IF(22&lt;='Peer Inside An EBITDA Multiple'!$H$30,SUM(J64:L64),"")</f>
        <v/>
      </c>
      <c r="N64" s="146" t="str">
        <f>IF(23&lt;='Peer Inside An EBITDA Multiple'!$H$30,-'Peer Inside An EBITDA Multiple'!AE49,"")</f>
        <v/>
      </c>
      <c r="O64" s="146" t="str">
        <f>IF(23&lt;='Peer Inside An EBITDA Multiple'!$H$30,-N64,"")</f>
        <v/>
      </c>
      <c r="P64" s="146" t="str">
        <f>IF(23&lt;='Peer Inside An EBITDA Multiple'!$H$30,SUM(M64:O64),"")</f>
        <v/>
      </c>
      <c r="Q64" s="146" t="str">
        <f>IF(24&lt;='Peer Inside An EBITDA Multiple'!$H$30,-'Peer Inside An EBITDA Multiple'!AF49,"")</f>
        <v/>
      </c>
      <c r="R64" s="146" t="str">
        <f>IF(24&lt;='Peer Inside An EBITDA Multiple'!$H$30,-Q64,"")</f>
        <v/>
      </c>
      <c r="S64" s="146" t="str">
        <f>IF(24&lt;='Peer Inside An EBITDA Multiple'!$H$30,SUM(P64:R64),"")</f>
        <v/>
      </c>
      <c r="T64" s="146" t="str">
        <f>IF(25&lt;='Peer Inside An EBITDA Multiple'!$H$30,-'Peer Inside An EBITDA Multiple'!AG49,"")</f>
        <v/>
      </c>
      <c r="U64" s="146" t="str">
        <f>IF(25&lt;='Peer Inside An EBITDA Multiple'!$H$30,-T64,"")</f>
        <v/>
      </c>
      <c r="V64" s="146" t="str">
        <f>IF(25&lt;='Peer Inside An EBITDA Multiple'!$H$30,SUM(S64:U64),"")</f>
        <v/>
      </c>
    </row>
    <row r="65" spans="2:22" ht="12" customHeight="1">
      <c r="B65" s="155" t="str">
        <f>IF('Peer Inside An EBITDA Multiple'!$H$30&gt;20,B52+11,"")</f>
        <v/>
      </c>
      <c r="D65" s="139" t="str">
        <f>IF('Peer Inside An EBITDA Multiple'!$H$30&gt;20,D52,"")</f>
        <v/>
      </c>
      <c r="E65" s="136"/>
      <c r="F65" s="144" t="str">
        <f>IF('Peer Inside An EBITDA Multiple'!$H$30&gt;20,"["&amp;TEXT('Peer Inside An EBITDA Multiple'!$C$39,"0")&amp;"]/["&amp;'Peer Inside An EBITDA Multiple'!C$30&amp;"]","")</f>
        <v/>
      </c>
      <c r="G65" s="146" t="str">
        <f>IF('Peer Inside An EBITDA Multiple'!$H$30&gt;G58,V52,"")</f>
        <v/>
      </c>
      <c r="H65" s="146" t="str">
        <f>IF(21&lt;='Peer Inside An EBITDA Multiple'!$H$30,T52,"")</f>
        <v/>
      </c>
      <c r="I65" s="146" t="str">
        <f>IF(21&lt;='Peer Inside An EBITDA Multiple'!$H$30,-H65,"")</f>
        <v/>
      </c>
      <c r="J65" s="146" t="str">
        <f>IF(21&lt;='Peer Inside An EBITDA Multiple'!$H$30,SUM(G65:I65),"")</f>
        <v/>
      </c>
      <c r="K65" s="146" t="str">
        <f>IF(22&lt;='Peer Inside An EBITDA Multiple'!$H$30,H65,"")</f>
        <v/>
      </c>
      <c r="L65" s="146" t="str">
        <f>IF(22&lt;='Peer Inside An EBITDA Multiple'!$H$30,-K65,"")</f>
        <v/>
      </c>
      <c r="M65" s="146" t="str">
        <f>IF(22&lt;='Peer Inside An EBITDA Multiple'!$H$30,SUM(J65:L65),"")</f>
        <v/>
      </c>
      <c r="N65" s="146" t="str">
        <f>IF(23&lt;='Peer Inside An EBITDA Multiple'!$H$30,K65,"")</f>
        <v/>
      </c>
      <c r="O65" s="146" t="str">
        <f>IF(23&lt;='Peer Inside An EBITDA Multiple'!$H$30,-N65,"")</f>
        <v/>
      </c>
      <c r="P65" s="146" t="str">
        <f>IF(23&lt;='Peer Inside An EBITDA Multiple'!$H$30,SUM(M65:O65),"")</f>
        <v/>
      </c>
      <c r="Q65" s="146" t="str">
        <f>IF(24&lt;='Peer Inside An EBITDA Multiple'!$H$30,N65,"")</f>
        <v/>
      </c>
      <c r="R65" s="146" t="str">
        <f>IF(24&lt;='Peer Inside An EBITDA Multiple'!$H$30,-Q65,"")</f>
        <v/>
      </c>
      <c r="S65" s="146" t="str">
        <f>IF(24&lt;='Peer Inside An EBITDA Multiple'!$H$30,SUM(P65:R65),"")</f>
        <v/>
      </c>
      <c r="T65" s="146" t="str">
        <f>IF(25&lt;='Peer Inside An EBITDA Multiple'!$H$30,Q65,"")</f>
        <v/>
      </c>
      <c r="U65" s="146" t="str">
        <f>IF(25&lt;='Peer Inside An EBITDA Multiple'!$H$30,-T65,"")</f>
        <v/>
      </c>
      <c r="V65" s="146" t="str">
        <f>IF(25&lt;='Peer Inside An EBITDA Multiple'!$H$30,SUM(S65:U65),"")</f>
        <v/>
      </c>
    </row>
    <row r="66" spans="2:22" ht="12" customHeight="1">
      <c r="B66" s="155" t="str">
        <f>IF('Peer Inside An EBITDA Multiple'!$H$30&gt;20,B53+11,"")</f>
        <v/>
      </c>
      <c r="D66" s="139" t="str">
        <f>IF('Peer Inside An EBITDA Multiple'!$H$30&gt;20,D53,"")</f>
        <v/>
      </c>
      <c r="E66" s="136"/>
      <c r="F66" s="144" t="str">
        <f>IF('Peer Inside An EBITDA Multiple'!$H$30&gt;20,"-["&amp;TEXT(B62,"0")&amp;"]*["&amp;TEXT('Peer Inside An EBITDA Multiple'!$C$11,"0")&amp;"]","")</f>
        <v/>
      </c>
      <c r="G66" s="146" t="str">
        <f>IF('Peer Inside An EBITDA Multiple'!$H$30&gt;G58,V53,"")</f>
        <v/>
      </c>
      <c r="H66" s="146" t="str">
        <f>IF(21&lt;='Peer Inside An EBITDA Multiple'!$H$30,-V49*'Peer Inside An EBITDA Multiple'!$H$11,"")</f>
        <v/>
      </c>
      <c r="I66" s="146" t="str">
        <f>IF(21&lt;='Peer Inside An EBITDA Multiple'!$H$30,-H66,"")</f>
        <v/>
      </c>
      <c r="J66" s="146" t="str">
        <f>IF(21&lt;='Peer Inside An EBITDA Multiple'!$H$30,SUM(G66:I66),"")</f>
        <v/>
      </c>
      <c r="K66" s="146" t="str">
        <f>IF(22&lt;='Peer Inside An EBITDA Multiple'!$H$30,-J62*'Peer Inside An EBITDA Multiple'!$H$11,"")</f>
        <v/>
      </c>
      <c r="L66" s="146" t="str">
        <f>IF(22&lt;='Peer Inside An EBITDA Multiple'!$H$30,-K66,"")</f>
        <v/>
      </c>
      <c r="M66" s="146" t="str">
        <f>IF(22&lt;='Peer Inside An EBITDA Multiple'!$H$30,SUM(J66:L66),"")</f>
        <v/>
      </c>
      <c r="N66" s="146" t="str">
        <f>IF(23&lt;='Peer Inside An EBITDA Multiple'!$H$30,-M62*'Peer Inside An EBITDA Multiple'!$H$11,"")</f>
        <v/>
      </c>
      <c r="O66" s="146" t="str">
        <f>IF(23&lt;='Peer Inside An EBITDA Multiple'!$H$30,-N66,"")</f>
        <v/>
      </c>
      <c r="P66" s="146" t="str">
        <f>IF(23&lt;='Peer Inside An EBITDA Multiple'!$H$30,SUM(M66:O66),"")</f>
        <v/>
      </c>
      <c r="Q66" s="146" t="str">
        <f>IF(24&lt;='Peer Inside An EBITDA Multiple'!$H$30,-P62*'Peer Inside An EBITDA Multiple'!$H$11,"")</f>
        <v/>
      </c>
      <c r="R66" s="146" t="str">
        <f>IF(24&lt;='Peer Inside An EBITDA Multiple'!$H$30,-Q66,"")</f>
        <v/>
      </c>
      <c r="S66" s="146" t="str">
        <f>IF(24&lt;='Peer Inside An EBITDA Multiple'!$H$30,SUM(P66:R66),"")</f>
        <v/>
      </c>
      <c r="T66" s="146" t="str">
        <f>IF(25&lt;='Peer Inside An EBITDA Multiple'!$H$30,-S62*'Peer Inside An EBITDA Multiple'!$H$11,"")</f>
        <v/>
      </c>
      <c r="U66" s="146" t="str">
        <f>IF(25&lt;='Peer Inside An EBITDA Multiple'!$H$30,-T66,"")</f>
        <v/>
      </c>
      <c r="V66" s="146" t="str">
        <f>IF(25&lt;='Peer Inside An EBITDA Multiple'!$H$30,SUM(S66:U66),"")</f>
        <v/>
      </c>
    </row>
    <row r="67" spans="2:22" ht="12" customHeight="1">
      <c r="B67" s="155" t="str">
        <f>IF('Peer Inside An EBITDA Multiple'!$H$30&gt;20,B54+11,"")</f>
        <v/>
      </c>
      <c r="D67" s="139" t="str">
        <f>IF('Peer Inside An EBITDA Multiple'!$H$30&gt;20,D54,"")</f>
        <v/>
      </c>
      <c r="E67" s="136"/>
      <c r="F67" s="144" t="str">
        <f>IF('Peer Inside An EBITDA Multiple'!$H$30&gt;20,"-["&amp;TEXT(B61,"0")&amp;"]*["&amp;'Peer Inside An EBITDA Multiple'!$C$9&amp;"]","")</f>
        <v/>
      </c>
      <c r="G67" s="146" t="str">
        <f>IF('Peer Inside An EBITDA Multiple'!$H$30&gt;G58,V54,"")</f>
        <v/>
      </c>
      <c r="H67" s="146" t="str">
        <f>IF(21&lt;='Peer Inside An EBITDA Multiple'!$H$30,-V48*'Peer Inside An EBITDA Multiple'!$H9,"")</f>
        <v/>
      </c>
      <c r="I67" s="146" t="str">
        <f>IF(21&lt;='Peer Inside An EBITDA Multiple'!$H$30,-H67,"")</f>
        <v/>
      </c>
      <c r="J67" s="146" t="str">
        <f>IF(21&lt;='Peer Inside An EBITDA Multiple'!$H$30,SUM(G67:I67),"")</f>
        <v/>
      </c>
      <c r="K67" s="146" t="str">
        <f>IF(22&lt;='Peer Inside An EBITDA Multiple'!$H$30,-J61*'Peer Inside An EBITDA Multiple'!$H9,"")</f>
        <v/>
      </c>
      <c r="L67" s="146" t="str">
        <f>IF(22&lt;='Peer Inside An EBITDA Multiple'!$H$30,-K67,"")</f>
        <v/>
      </c>
      <c r="M67" s="146" t="str">
        <f>IF(22&lt;='Peer Inside An EBITDA Multiple'!$H$30,SUM(J67:L67),"")</f>
        <v/>
      </c>
      <c r="N67" s="146" t="str">
        <f>IF(23&lt;='Peer Inside An EBITDA Multiple'!$H$30,-M61*'Peer Inside An EBITDA Multiple'!$H9,"")</f>
        <v/>
      </c>
      <c r="O67" s="146" t="str">
        <f>IF(23&lt;='Peer Inside An EBITDA Multiple'!$H$30,-N67,"")</f>
        <v/>
      </c>
      <c r="P67" s="146" t="str">
        <f>IF(23&lt;='Peer Inside An EBITDA Multiple'!$H$30,SUM(M67:O67),"")</f>
        <v/>
      </c>
      <c r="Q67" s="146" t="str">
        <f>IF(24&lt;='Peer Inside An EBITDA Multiple'!$H$30,-P61*'Peer Inside An EBITDA Multiple'!$H9,"")</f>
        <v/>
      </c>
      <c r="R67" s="146" t="str">
        <f>IF(24&lt;='Peer Inside An EBITDA Multiple'!$H$30,-Q67,"")</f>
        <v/>
      </c>
      <c r="S67" s="146" t="str">
        <f>IF(24&lt;='Peer Inside An EBITDA Multiple'!$H$30,SUM(P67:R67),"")</f>
        <v/>
      </c>
      <c r="T67" s="146" t="str">
        <f>IF(25&lt;='Peer Inside An EBITDA Multiple'!$H$30,-S61*'Peer Inside An EBITDA Multiple'!$H9,"")</f>
        <v/>
      </c>
      <c r="U67" s="146" t="str">
        <f>IF(25&lt;='Peer Inside An EBITDA Multiple'!$H$30,-T67,"")</f>
        <v/>
      </c>
      <c r="V67" s="146" t="str">
        <f>IF(25&lt;='Peer Inside An EBITDA Multiple'!$H$30,SUM(S67:U67),"")</f>
        <v/>
      </c>
    </row>
    <row r="68" spans="2:22" ht="12" customHeight="1">
      <c r="B68" s="155" t="str">
        <f>IF('Peer Inside An EBITDA Multiple'!$H$30&gt;20,B55+11,"")</f>
        <v/>
      </c>
      <c r="D68" s="139" t="str">
        <f>IF('Peer Inside An EBITDA Multiple'!$H$30&gt;20,D55,"")</f>
        <v/>
      </c>
      <c r="E68" s="136"/>
      <c r="F68" s="144" t="str">
        <f>IF('Peer Inside An EBITDA Multiple'!$H$30&gt;20,"-SUM(["&amp;TEXT(B64,"0")&amp;"]:["&amp;TEXT(B67,"0")&amp;"])*["&amp;'Peer Inside An EBITDA Multiple'!$C$12&amp;"]","")</f>
        <v/>
      </c>
      <c r="G68" s="146" t="str">
        <f>IF('Peer Inside An EBITDA Multiple'!$H$30&gt;G58,V55,"")</f>
        <v/>
      </c>
      <c r="H68" s="146" t="str">
        <f>IF(21&lt;='Peer Inside An EBITDA Multiple'!$H$30,-SUM(H64:H67)*'Peer Inside An EBITDA Multiple'!$H$12,"")</f>
        <v/>
      </c>
      <c r="I68" s="146" t="str">
        <f>IF(21&lt;='Peer Inside An EBITDA Multiple'!$H$30,-H68,"")</f>
        <v/>
      </c>
      <c r="J68" s="146" t="str">
        <f>IF(21&lt;='Peer Inside An EBITDA Multiple'!$H$30,SUM(G68:I68),"")</f>
        <v/>
      </c>
      <c r="K68" s="146" t="str">
        <f>IF(22&lt;='Peer Inside An EBITDA Multiple'!$H$30,-SUM(K64:K67)*'Peer Inside An EBITDA Multiple'!$H$12,"")</f>
        <v/>
      </c>
      <c r="L68" s="146" t="str">
        <f>IF(22&lt;='Peer Inside An EBITDA Multiple'!$H$30,-K68,"")</f>
        <v/>
      </c>
      <c r="M68" s="146" t="str">
        <f>IF(22&lt;='Peer Inside An EBITDA Multiple'!$H$30,SUM(J68:L68),"")</f>
        <v/>
      </c>
      <c r="N68" s="146" t="str">
        <f>IF(23&lt;='Peer Inside An EBITDA Multiple'!$H$30,-SUM(N64:N67)*'Peer Inside An EBITDA Multiple'!$H$12,"")</f>
        <v/>
      </c>
      <c r="O68" s="146" t="str">
        <f>IF(23&lt;='Peer Inside An EBITDA Multiple'!$H$30,-N68,"")</f>
        <v/>
      </c>
      <c r="P68" s="146" t="str">
        <f>IF(23&lt;='Peer Inside An EBITDA Multiple'!$H$30,SUM(M68:O68),"")</f>
        <v/>
      </c>
      <c r="Q68" s="146" t="str">
        <f>IF(24&lt;='Peer Inside An EBITDA Multiple'!$H$30,-SUM(Q64:Q67)*'Peer Inside An EBITDA Multiple'!$H$12,"")</f>
        <v/>
      </c>
      <c r="R68" s="146" t="str">
        <f>IF(24&lt;='Peer Inside An EBITDA Multiple'!$H$30,-Q68,"")</f>
        <v/>
      </c>
      <c r="S68" s="146" t="str">
        <f>IF(24&lt;='Peer Inside An EBITDA Multiple'!$H$30,SUM(P68:R68),"")</f>
        <v/>
      </c>
      <c r="T68" s="146" t="str">
        <f>IF(25&lt;='Peer Inside An EBITDA Multiple'!$H$30,-SUM(T64:T67)*'Peer Inside An EBITDA Multiple'!$H$12,"")</f>
        <v/>
      </c>
      <c r="U68" s="146" t="str">
        <f>IF(25&lt;='Peer Inside An EBITDA Multiple'!$H$30,-T68,"")</f>
        <v/>
      </c>
      <c r="V68" s="146" t="str">
        <f>IF(25&lt;='Peer Inside An EBITDA Multiple'!$H$30,SUM(S68:U68),"")</f>
        <v/>
      </c>
    </row>
    <row r="69" spans="2:22" ht="12.75" customHeight="1" thickBot="1">
      <c r="B69" s="155" t="str">
        <f>IF('Peer Inside An EBITDA Multiple'!$H$30&gt;20,B56+11,"")</f>
        <v/>
      </c>
      <c r="D69" s="139" t="str">
        <f>IF('Peer Inside An EBITDA Multiple'!$H$30&gt;20,D56,"")</f>
        <v/>
      </c>
      <c r="E69" s="136"/>
      <c r="F69" s="144" t="str">
        <f>IF('Peer Inside An EBITDA Multiple'!$H$30&gt;20,"SUM(["&amp;TEXT(B59,"0")&amp;"]:["&amp;TEXT(B68,"0")&amp;"])","")</f>
        <v/>
      </c>
      <c r="G69" s="151" t="str">
        <f>IF(V45&lt;'Peer Inside An EBITDA Multiple'!$H$30,ABS(SUM(G59:G68)),"")</f>
        <v/>
      </c>
      <c r="H69" s="151" t="str">
        <f>IF(J58&lt;='Peer Inside An EBITDA Multiple'!$H$30,ABS(SUM(H59:H68)),"")</f>
        <v/>
      </c>
      <c r="I69" s="151" t="str">
        <f>IF(J58&lt;='Peer Inside An EBITDA Multiple'!$H$30,ABS(SUM(I59:I68)),"")</f>
        <v/>
      </c>
      <c r="J69" s="151" t="str">
        <f>IF(J58&lt;='Peer Inside An EBITDA Multiple'!$H$30,ABS(SUM(J59:J68)),"")</f>
        <v/>
      </c>
      <c r="K69" s="151" t="str">
        <f>IF(M58&lt;='Peer Inside An EBITDA Multiple'!$H$30,ABS(SUM(K59:K68)),"")</f>
        <v/>
      </c>
      <c r="L69" s="151" t="str">
        <f>IF(M58&lt;='Peer Inside An EBITDA Multiple'!$H$30,ABS(SUM(L59:L68)),"")</f>
        <v/>
      </c>
      <c r="M69" s="151" t="str">
        <f>IF(M58&lt;='Peer Inside An EBITDA Multiple'!$H$30,ABS(SUM(M59:M68)),"")</f>
        <v/>
      </c>
      <c r="N69" s="151" t="str">
        <f>IF(P58&lt;='Peer Inside An EBITDA Multiple'!$H$30,ABS(SUM(N59:N68)),"")</f>
        <v/>
      </c>
      <c r="O69" s="151" t="str">
        <f>IF(P58&lt;='Peer Inside An EBITDA Multiple'!$H$30,ABS(SUM(O59:O68)),"")</f>
        <v/>
      </c>
      <c r="P69" s="151" t="str">
        <f>IF(P58&lt;='Peer Inside An EBITDA Multiple'!$H$30,ABS(SUM(P59:P68)),"")</f>
        <v/>
      </c>
      <c r="Q69" s="151" t="str">
        <f>IF(S58&lt;='Peer Inside An EBITDA Multiple'!$H$30,ABS(SUM(Q59:Q68)),"")</f>
        <v/>
      </c>
      <c r="R69" s="151" t="str">
        <f>IF(S58&lt;='Peer Inside An EBITDA Multiple'!$H$30,ABS(SUM(R59:R68)),"")</f>
        <v/>
      </c>
      <c r="S69" s="151" t="str">
        <f>IF(S58&lt;='Peer Inside An EBITDA Multiple'!$H$30,ABS(SUM(S59:S68)),"")</f>
        <v/>
      </c>
      <c r="T69" s="151" t="str">
        <f>IF(V58&lt;='Peer Inside An EBITDA Multiple'!$H$30,ABS(SUM(T59:T68)),"")</f>
        <v/>
      </c>
      <c r="U69" s="151" t="str">
        <f>IF(V58&lt;='Peer Inside An EBITDA Multiple'!$H$30,ABS(SUM(U59:U68)),"")</f>
        <v/>
      </c>
      <c r="V69" s="151" t="str">
        <f>IF(V58&lt;='Peer Inside An EBITDA Multiple'!$H$30,ABS(SUM(V59:V68)),"")</f>
        <v/>
      </c>
    </row>
    <row r="70" spans="2:22" ht="9" customHeight="1" thickTop="1"/>
    <row r="71" spans="2:22" ht="12" customHeight="1">
      <c r="D71" s="138" t="str">
        <f>IF('Peer Inside An EBITDA Multiple'!$H$30&gt;25,IF('Peer Inside An EBITDA Multiple'!$H$30=26,"Trial Balance 26","Trial Balances 26 - "&amp;IF('Peer Inside An EBITDA Multiple'!$H$30&lt;=29,'Peer Inside An EBITDA Multiple'!$H$30,"30")),"")</f>
        <v/>
      </c>
      <c r="E71" s="138"/>
      <c r="F71" s="143"/>
      <c r="G71" s="149" t="str">
        <f>IF(V58&lt;'Peer Inside An EBITDA Multiple'!$H$30,V58,"")</f>
        <v/>
      </c>
      <c r="H71" s="149" t="str">
        <f>IF(G71&lt;'Peer Inside An EBITDA Multiple'!$H$30,"Activity","")</f>
        <v/>
      </c>
      <c r="I71" s="149" t="str">
        <f>IF(G71&lt;'Peer Inside An EBITDA Multiple'!$H$30,"Close","")</f>
        <v/>
      </c>
      <c r="J71" s="150" t="str">
        <f>IF(G71&lt;'Peer Inside An EBITDA Multiple'!$H$30,G71+1,"")</f>
        <v/>
      </c>
      <c r="K71" s="149" t="str">
        <f>IF(J71&lt;'Peer Inside An EBITDA Multiple'!$H$30,"Activity","")</f>
        <v/>
      </c>
      <c r="L71" s="149" t="str">
        <f>IF(J71&lt;'Peer Inside An EBITDA Multiple'!$H$30,"Close","")</f>
        <v/>
      </c>
      <c r="M71" s="150" t="str">
        <f>IF(J71&lt;'Peer Inside An EBITDA Multiple'!$H$30,J71+1,"")</f>
        <v/>
      </c>
      <c r="N71" s="149" t="str">
        <f>IF(M71&lt;'Peer Inside An EBITDA Multiple'!$H$30,"Activity","")</f>
        <v/>
      </c>
      <c r="O71" s="149" t="str">
        <f>IF(M71&lt;'Peer Inside An EBITDA Multiple'!$H$30,"Close","")</f>
        <v/>
      </c>
      <c r="P71" s="150" t="str">
        <f>IF(M71&lt;'Peer Inside An EBITDA Multiple'!$H$30,M71+1,"")</f>
        <v/>
      </c>
      <c r="Q71" s="149" t="str">
        <f>IF(P71&lt;'Peer Inside An EBITDA Multiple'!$H$30,"Activity","")</f>
        <v/>
      </c>
      <c r="R71" s="149" t="str">
        <f>IF(P71&lt;'Peer Inside An EBITDA Multiple'!$H$30,"Close","")</f>
        <v/>
      </c>
      <c r="S71" s="150" t="str">
        <f>IF(P71&lt;'Peer Inside An EBITDA Multiple'!$H$30,P71+1,"")</f>
        <v/>
      </c>
      <c r="T71" s="149" t="str">
        <f>IF(S71&lt;'Peer Inside An EBITDA Multiple'!$H$30,"Activity","")</f>
        <v/>
      </c>
      <c r="U71" s="149" t="str">
        <f>IF(S71&lt;'Peer Inside An EBITDA Multiple'!$H$30,"Close","")</f>
        <v/>
      </c>
      <c r="V71" s="150" t="str">
        <f>IF(S71&lt;'Peer Inside An EBITDA Multiple'!$H$30,S71+1,"")</f>
        <v/>
      </c>
    </row>
    <row r="72" spans="2:22" ht="12" customHeight="1">
      <c r="B72" s="155" t="str">
        <f>IF('Peer Inside An EBITDA Multiple'!$H$30&gt;25,B59+11,"")</f>
        <v/>
      </c>
      <c r="D72" s="139" t="str">
        <f>IF('Peer Inside An EBITDA Multiple'!$H$30&gt;25,D59,"")</f>
        <v/>
      </c>
      <c r="E72" s="136"/>
      <c r="F72" s="145" t="str">
        <f>IF('Peer Inside An EBITDA Multiple'!$H$30&gt;25,"["&amp;'Peer Inside An EBITDA Multiple'!$C$39&amp;"]","")</f>
        <v/>
      </c>
      <c r="G72" s="146" t="str">
        <f>IF('Peer Inside An EBITDA Multiple'!$H$30&gt;G71,V59,"")</f>
        <v/>
      </c>
      <c r="I72" s="146" t="str">
        <f>IF(26&lt;'Peer Inside An EBITDA Multiple'!$H$30,"",IF(26='Peer Inside An EBITDA Multiple'!$H$30,-V59,""))</f>
        <v/>
      </c>
      <c r="J72" s="146" t="str">
        <f>IF(26&lt;='Peer Inside An EBITDA Multiple'!$H$30,SUM(G72:I72),"")</f>
        <v/>
      </c>
      <c r="L72" s="146" t="str">
        <f>IF(27&lt;'Peer Inside An EBITDA Multiple'!$H$30,"",IF(27='Peer Inside An EBITDA Multiple'!$H$30,-J72,""))</f>
        <v/>
      </c>
      <c r="M72" s="146" t="str">
        <f>IF(27&lt;='Peer Inside An EBITDA Multiple'!$H$30,SUM(J72:L72),"")</f>
        <v/>
      </c>
      <c r="O72" s="146" t="str">
        <f>IF(28&lt;'Peer Inside An EBITDA Multiple'!$H$30,"",IF(28='Peer Inside An EBITDA Multiple'!$H$30,-M72,""))</f>
        <v/>
      </c>
      <c r="P72" s="146" t="str">
        <f>IF(28&lt;='Peer Inside An EBITDA Multiple'!$H$30,SUM(M72:O72),"")</f>
        <v/>
      </c>
      <c r="R72" s="146" t="str">
        <f>IF(29&lt;'Peer Inside An EBITDA Multiple'!$H$30,"",IF(29='Peer Inside An EBITDA Multiple'!$H$30,-P72,""))</f>
        <v/>
      </c>
      <c r="S72" s="146" t="str">
        <f>IF(29&lt;='Peer Inside An EBITDA Multiple'!$H$30,SUM(P72:R72),"")</f>
        <v/>
      </c>
      <c r="U72" s="146" t="str">
        <f>IF(30&lt;'Peer Inside An EBITDA Multiple'!$H$30,"",IF(30='Peer Inside An EBITDA Multiple'!$H$30,-S72,""))</f>
        <v/>
      </c>
      <c r="V72" s="146" t="str">
        <f>IF(30&lt;='Peer Inside An EBITDA Multiple'!$H$30,SUM(S72:U72),"")</f>
        <v/>
      </c>
    </row>
    <row r="73" spans="2:22" ht="12" customHeight="1">
      <c r="B73" s="155" t="str">
        <f>IF('Peer Inside An EBITDA Multiple'!$H$30&gt;25,B60+11,"")</f>
        <v/>
      </c>
      <c r="D73" s="139" t="str">
        <f>IF('Peer Inside An EBITDA Multiple'!$H$30&gt;25,D60,"")</f>
        <v/>
      </c>
      <c r="E73" s="136"/>
      <c r="F73" s="144" t="str">
        <f>IF('Peer Inside An EBITDA Multiple'!$H$30&gt;25,"["&amp;TEXT(B73,"0")&amp;"]-["&amp;TEXT(B78,"0")&amp;"]","")</f>
        <v/>
      </c>
      <c r="G73" s="146" t="str">
        <f>IF('Peer Inside An EBITDA Multiple'!$H$30&gt;G71,V60,"")</f>
        <v/>
      </c>
      <c r="H73" s="146" t="str">
        <f>IF(26&lt;='Peer Inside An EBITDA Multiple'!$H$30,-H78,"")</f>
        <v/>
      </c>
      <c r="I73" s="146" t="str">
        <f>IF(26='Peer Inside An EBITDA Multiple'!$H$30,-I72,"")</f>
        <v/>
      </c>
      <c r="J73" s="146" t="str">
        <f>IF(26='Peer Inside An EBITDA Multiple'!$H$30,SUM(G73:I73),IF(26&lt;='Peer Inside An EBITDA Multiple'!$H$30,G73-H78,""))</f>
        <v/>
      </c>
      <c r="K73" s="146" t="str">
        <f>IF(27&lt;='Peer Inside An EBITDA Multiple'!$H$30,-K78,"")</f>
        <v/>
      </c>
      <c r="L73" s="146" t="str">
        <f>IF(27='Peer Inside An EBITDA Multiple'!$H$30,-L72,"")</f>
        <v/>
      </c>
      <c r="M73" s="146" t="str">
        <f>IF(27='Peer Inside An EBITDA Multiple'!$H$30,SUM(J73:L73),IF(27&lt;='Peer Inside An EBITDA Multiple'!$H$30,J73-K78,""))</f>
        <v/>
      </c>
      <c r="N73" s="146" t="str">
        <f>IF(28&lt;='Peer Inside An EBITDA Multiple'!$H$30,-N78,"")</f>
        <v/>
      </c>
      <c r="O73" s="146" t="str">
        <f>IF(28='Peer Inside An EBITDA Multiple'!$H$30,-O72,"")</f>
        <v/>
      </c>
      <c r="P73" s="146" t="str">
        <f>IF(28='Peer Inside An EBITDA Multiple'!$H$30,SUM(M73:O73),IF(28&lt;='Peer Inside An EBITDA Multiple'!$H$30,M73-N78,""))</f>
        <v/>
      </c>
      <c r="Q73" s="146" t="str">
        <f>IF(29&lt;='Peer Inside An EBITDA Multiple'!$H$30,-Q78,"")</f>
        <v/>
      </c>
      <c r="R73" s="146" t="str">
        <f>IF(29='Peer Inside An EBITDA Multiple'!$H$30,-R72,"")</f>
        <v/>
      </c>
      <c r="S73" s="146" t="str">
        <f>IF(29='Peer Inside An EBITDA Multiple'!$H$30,SUM(P73:R73),IF(29&lt;='Peer Inside An EBITDA Multiple'!$H$30,P73-Q78,""))</f>
        <v/>
      </c>
      <c r="T73" s="146" t="str">
        <f>IF(30&lt;='Peer Inside An EBITDA Multiple'!$H$30,-T78,"")</f>
        <v/>
      </c>
      <c r="U73" s="146" t="str">
        <f>IF(30='Peer Inside An EBITDA Multiple'!$H$30,-U72,"")</f>
        <v/>
      </c>
      <c r="V73" s="146" t="str">
        <f>IF(30='Peer Inside An EBITDA Multiple'!$H$30,SUM(S73:U73),IF(30&lt;='Peer Inside An EBITDA Multiple'!$H$30,S73-T78,""))</f>
        <v/>
      </c>
    </row>
    <row r="74" spans="2:22" ht="12" customHeight="1">
      <c r="B74" s="155" t="str">
        <f>IF('Peer Inside An EBITDA Multiple'!$H$30&gt;25,B61+11,"")</f>
        <v/>
      </c>
      <c r="D74" s="139" t="str">
        <f>IF('Peer Inside An EBITDA Multiple'!$H$30&gt;25,D61,"")</f>
        <v/>
      </c>
      <c r="E74" s="136"/>
      <c r="F74" s="144" t="str">
        <f>IF('Peer Inside An EBITDA Multiple'!$H$30&gt;25,"-SUM(["&amp;TEXT(B72,"0")&amp;"]:["&amp;TEXT(B73,"0")&amp;"],["&amp;TEXT(B75,"0")&amp;"]:["&amp;TEXT(B81,"0")&amp;"])","")</f>
        <v/>
      </c>
      <c r="G74" s="146" t="str">
        <f>IF('Peer Inside An EBITDA Multiple'!$H$30&gt;G71,V61,"")</f>
        <v/>
      </c>
      <c r="H74" s="146" t="str">
        <f>IF(26&lt;='Peer Inside An EBITDA Multiple'!$H$30,-SUM(H72:H73,H75:H81),"")</f>
        <v/>
      </c>
      <c r="J74" s="146" t="str">
        <f>IF(26='Peer Inside An EBITDA Multiple'!$H$30,ABS(SUM(G74:I74)),IF(26&lt;'Peer Inside An EBITDA Multiple'!$H$30,SUM(G74:I74),""))</f>
        <v/>
      </c>
      <c r="K74" s="146" t="str">
        <f>IF(27&lt;='Peer Inside An EBITDA Multiple'!$H$30,-SUM(K72:K73,K75:K81),"")</f>
        <v/>
      </c>
      <c r="M74" s="146" t="str">
        <f>IF(27='Peer Inside An EBITDA Multiple'!$H$30,ABS(SUM(J74:L74)),IF(27&lt;'Peer Inside An EBITDA Multiple'!$H$30,SUM(J74:L74),""))</f>
        <v/>
      </c>
      <c r="N74" s="146" t="str">
        <f>IF(28&lt;='Peer Inside An EBITDA Multiple'!$H$30,-SUM(N72:N73,N75:N81),"")</f>
        <v/>
      </c>
      <c r="P74" s="146" t="str">
        <f>IF(28='Peer Inside An EBITDA Multiple'!$H$30,ABS(SUM(M74:O74)),IF(28&lt;'Peer Inside An EBITDA Multiple'!$H$30,SUM(M74:O74),""))</f>
        <v/>
      </c>
      <c r="Q74" s="146" t="str">
        <f>IF(29&lt;='Peer Inside An EBITDA Multiple'!$H$30,-SUM(Q72:Q73,Q75:Q81),"")</f>
        <v/>
      </c>
      <c r="S74" s="146" t="str">
        <f>IF(29='Peer Inside An EBITDA Multiple'!$H$30,ABS(SUM(P74:R74)),IF(29&lt;'Peer Inside An EBITDA Multiple'!$H$30,SUM(P74:R74),""))</f>
        <v/>
      </c>
      <c r="T74" s="146" t="str">
        <f>IF(30&lt;='Peer Inside An EBITDA Multiple'!$H$30,-SUM(T72:T73,T75:T81),"")</f>
        <v/>
      </c>
      <c r="V74" s="146" t="str">
        <f>IF(30='Peer Inside An EBITDA Multiple'!$H$30,ABS(SUM(S74:U74)),IF(30&lt;'Peer Inside An EBITDA Multiple'!$H$30,SUM(S74:U74),""))</f>
        <v/>
      </c>
    </row>
    <row r="75" spans="2:22" ht="12" customHeight="1">
      <c r="B75" s="155" t="str">
        <f>IF('Peer Inside An EBITDA Multiple'!$H$30&gt;25,B62+11,"")</f>
        <v/>
      </c>
      <c r="D75" s="139" t="str">
        <f>IF('Peer Inside An EBITDA Multiple'!$H$30&gt;25,D62,"")</f>
        <v/>
      </c>
      <c r="E75" s="136"/>
      <c r="F75" s="144" t="str">
        <f>IF('Peer Inside An EBITDA Multiple'!$H$30&gt;25,"-["&amp;'Peer Inside An EBITDA Multiple'!$C$44&amp;"]*["&amp;'Peer Inside An EBITDA Multiple'!$C$10&amp;"]","")</f>
        <v/>
      </c>
      <c r="G75" s="146" t="str">
        <f>IF('Peer Inside An EBITDA Multiple'!$H$30&gt;G71,V62,"")</f>
        <v/>
      </c>
      <c r="H75" s="146" t="str">
        <f>IF(26&lt;='Peer Inside An EBITDA Multiple'!$H$30,-'Peer Inside An EBITDA Multiple'!AH59,"")</f>
        <v/>
      </c>
      <c r="J75" s="146" t="str">
        <f>IF(26='Peer Inside An EBITDA Multiple'!$H$30,ABS(SUM(G75:I75)),IF(26&lt;'Peer Inside An EBITDA Multiple'!$H$30,SUM(G75:I75),""))</f>
        <v/>
      </c>
      <c r="K75" s="146" t="str">
        <f>IF(27&lt;='Peer Inside An EBITDA Multiple'!$H$30,-'Peer Inside An EBITDA Multiple'!AI59,"")</f>
        <v/>
      </c>
      <c r="M75" s="146" t="str">
        <f>IF(27='Peer Inside An EBITDA Multiple'!$H$30,ABS(SUM(J75:L75)),IF(27&lt;'Peer Inside An EBITDA Multiple'!$H$30,SUM(J75:L75),""))</f>
        <v/>
      </c>
      <c r="N75" s="146" t="str">
        <f>IF(28&lt;='Peer Inside An EBITDA Multiple'!$H$30,-'Peer Inside An EBITDA Multiple'!AJ59,"")</f>
        <v/>
      </c>
      <c r="P75" s="146" t="str">
        <f>IF(28='Peer Inside An EBITDA Multiple'!$H$30,ABS(SUM(M75:O75)),IF(28&lt;'Peer Inside An EBITDA Multiple'!$H$30,SUM(M75:O75),""))</f>
        <v/>
      </c>
      <c r="Q75" s="146" t="str">
        <f>IF(29&lt;='Peer Inside An EBITDA Multiple'!$H$30,-'Peer Inside An EBITDA Multiple'!AK59,"")</f>
        <v/>
      </c>
      <c r="S75" s="146" t="str">
        <f>IF(29='Peer Inside An EBITDA Multiple'!$H$30,ABS(SUM(P75:R75)),IF(29&lt;'Peer Inside An EBITDA Multiple'!$H$30,SUM(P75:R75),""))</f>
        <v/>
      </c>
      <c r="T75" s="146" t="str">
        <f>IF(30&lt;='Peer Inside An EBITDA Multiple'!$H$30,-'Peer Inside An EBITDA Multiple'!AL59,"")</f>
        <v/>
      </c>
      <c r="V75" s="146" t="str">
        <f>IF(30='Peer Inside An EBITDA Multiple'!$H$30,ABS(SUM(S75:U75)),IF(30&lt;'Peer Inside An EBITDA Multiple'!$H$30,SUM(S75:U75),""))</f>
        <v/>
      </c>
    </row>
    <row r="76" spans="2:22" ht="12" customHeight="1">
      <c r="B76" s="155" t="str">
        <f>IF('Peer Inside An EBITDA Multiple'!$H$30&gt;25,B63+11,"")</f>
        <v/>
      </c>
      <c r="D76" s="139" t="str">
        <f>IF('Peer Inside An EBITDA Multiple'!$H$30&gt;25,D63,"")</f>
        <v/>
      </c>
      <c r="E76" s="136"/>
      <c r="F76" s="144" t="str">
        <f>IF('Peer Inside An EBITDA Multiple'!$H$30&gt;25,"-["&amp;'Peer Inside An EBITDA Multiple'!$C$44&amp;"]*(1-["&amp;'Peer Inside An EBITDA Multiple'!$C$10&amp;"])","")</f>
        <v/>
      </c>
      <c r="G76" s="146" t="str">
        <f>IF('Peer Inside An EBITDA Multiple'!$H$30&gt;G71,V63,"")</f>
        <v/>
      </c>
      <c r="H76" s="146" t="str">
        <f>IF(26&lt;='Peer Inside An EBITDA Multiple'!$H$30,J76-V63-I76,"")</f>
        <v/>
      </c>
      <c r="I76" s="146" t="str">
        <f>IF(26&lt;='Peer Inside An EBITDA Multiple'!$H$30,-SUM(I77:I81),"")</f>
        <v/>
      </c>
      <c r="J76" s="146" t="str">
        <f>IF(26='Peer Inside An EBITDA Multiple'!$H$30,0,IF(26&lt;'Peer Inside An EBITDA Multiple'!$H$30,-'Peer Inside An EBITDA Multiple'!AH66,""))</f>
        <v/>
      </c>
      <c r="K76" s="146" t="str">
        <f>IF(27&lt;='Peer Inside An EBITDA Multiple'!$H$30,M76-J76-L76,"")</f>
        <v/>
      </c>
      <c r="L76" s="146" t="str">
        <f>IF(27&lt;='Peer Inside An EBITDA Multiple'!$H$30,-SUM(L77:L81),"")</f>
        <v/>
      </c>
      <c r="M76" s="146" t="str">
        <f>IF(27='Peer Inside An EBITDA Multiple'!$H$30,0,IF(27&lt;'Peer Inside An EBITDA Multiple'!$H$30,-'Peer Inside An EBITDA Multiple'!AI66,""))</f>
        <v/>
      </c>
      <c r="N76" s="146" t="str">
        <f>IF(28&lt;='Peer Inside An EBITDA Multiple'!$H$30,P76-M76-O76,"")</f>
        <v/>
      </c>
      <c r="O76" s="146" t="str">
        <f>IF(28&lt;='Peer Inside An EBITDA Multiple'!$H$30,-SUM(O77:O81),"")</f>
        <v/>
      </c>
      <c r="P76" s="146" t="str">
        <f>IF(28='Peer Inside An EBITDA Multiple'!$H$30,0,IF(28&lt;'Peer Inside An EBITDA Multiple'!$H$30,-'Peer Inside An EBITDA Multiple'!AJ66,""))</f>
        <v/>
      </c>
      <c r="Q76" s="146" t="str">
        <f>IF(29&lt;='Peer Inside An EBITDA Multiple'!$H$30,S76-P76-R76,"")</f>
        <v/>
      </c>
      <c r="R76" s="146" t="str">
        <f>IF(29&lt;='Peer Inside An EBITDA Multiple'!$H$30,-SUM(R77:R81),"")</f>
        <v/>
      </c>
      <c r="S76" s="146" t="str">
        <f>IF(29='Peer Inside An EBITDA Multiple'!$H$30,0,IF(29&lt;'Peer Inside An EBITDA Multiple'!$H$30,-'Peer Inside An EBITDA Multiple'!AK66,""))</f>
        <v/>
      </c>
      <c r="T76" s="146" t="str">
        <f>IF(30&lt;='Peer Inside An EBITDA Multiple'!$H$30,V76-S76-U76,"")</f>
        <v/>
      </c>
      <c r="U76" s="146" t="str">
        <f>IF(30&lt;='Peer Inside An EBITDA Multiple'!$H$30,-SUM(U77:U81),"")</f>
        <v/>
      </c>
      <c r="V76" s="146" t="str">
        <f>IF(30='Peer Inside An EBITDA Multiple'!$H$30,0,IF(30&lt;'Peer Inside An EBITDA Multiple'!$H$30,-'Peer Inside An EBITDA Multiple'!AL66,""))</f>
        <v/>
      </c>
    </row>
    <row r="77" spans="2:22" ht="12" customHeight="1">
      <c r="B77" s="155" t="str">
        <f>IF('Peer Inside An EBITDA Multiple'!$H$30&gt;25,B64+11,"")</f>
        <v/>
      </c>
      <c r="D77" s="139" t="str">
        <f>IF('Peer Inside An EBITDA Multiple'!$H$30&gt;25,D64,"")</f>
        <v/>
      </c>
      <c r="E77" s="136"/>
      <c r="F77" s="144" t="str">
        <f>IF('Peer Inside An EBITDA Multiple'!$H$30&gt;25,"["&amp;TEXT('Peer Inside An EBITDA Multiple'!$C$46,"0")&amp;"]","")</f>
        <v/>
      </c>
      <c r="G77" s="146" t="str">
        <f>IF('Peer Inside An EBITDA Multiple'!$H$30&gt;G71,V64,"")</f>
        <v/>
      </c>
      <c r="H77" s="146" t="str">
        <f>IF(26&lt;='Peer Inside An EBITDA Multiple'!$H$30,-'Peer Inside An EBITDA Multiple'!AH49,"")</f>
        <v/>
      </c>
      <c r="I77" s="146" t="str">
        <f>IF(26&lt;='Peer Inside An EBITDA Multiple'!$H$30,-H77,"")</f>
        <v/>
      </c>
      <c r="J77" s="146" t="str">
        <f>IF(26&lt;='Peer Inside An EBITDA Multiple'!$H$30,SUM(G77:I77),"")</f>
        <v/>
      </c>
      <c r="K77" s="146" t="str">
        <f>IF(27&lt;='Peer Inside An EBITDA Multiple'!$H$30,-'Peer Inside An EBITDA Multiple'!AI49,"")</f>
        <v/>
      </c>
      <c r="L77" s="146" t="str">
        <f>IF(27&lt;='Peer Inside An EBITDA Multiple'!$H$30,-K77,"")</f>
        <v/>
      </c>
      <c r="M77" s="146" t="str">
        <f>IF(27&lt;='Peer Inside An EBITDA Multiple'!$H$30,SUM(J77:L77),"")</f>
        <v/>
      </c>
      <c r="N77" s="146" t="str">
        <f>IF(28&lt;='Peer Inside An EBITDA Multiple'!$H$30,-'Peer Inside An EBITDA Multiple'!AJ49,"")</f>
        <v/>
      </c>
      <c r="O77" s="146" t="str">
        <f>IF(28&lt;='Peer Inside An EBITDA Multiple'!$H$30,-N77,"")</f>
        <v/>
      </c>
      <c r="P77" s="146" t="str">
        <f>IF(28&lt;='Peer Inside An EBITDA Multiple'!$H$30,SUM(M77:O77),"")</f>
        <v/>
      </c>
      <c r="Q77" s="146" t="str">
        <f>IF(29&lt;='Peer Inside An EBITDA Multiple'!$H$30,-'Peer Inside An EBITDA Multiple'!AK49,"")</f>
        <v/>
      </c>
      <c r="R77" s="146" t="str">
        <f>IF(29&lt;='Peer Inside An EBITDA Multiple'!$H$30,-Q77,"")</f>
        <v/>
      </c>
      <c r="S77" s="146" t="str">
        <f>IF(29&lt;='Peer Inside An EBITDA Multiple'!$H$30,SUM(P77:R77),"")</f>
        <v/>
      </c>
      <c r="T77" s="146" t="str">
        <f>IF(30&lt;='Peer Inside An EBITDA Multiple'!$H$30,-'Peer Inside An EBITDA Multiple'!AL49,"")</f>
        <v/>
      </c>
      <c r="U77" s="146" t="str">
        <f>IF(30&lt;='Peer Inside An EBITDA Multiple'!$H$30,-T77,"")</f>
        <v/>
      </c>
      <c r="V77" s="146" t="str">
        <f>IF(30&lt;='Peer Inside An EBITDA Multiple'!$H$30,SUM(S77:U77),"")</f>
        <v/>
      </c>
    </row>
    <row r="78" spans="2:22" ht="12" customHeight="1">
      <c r="B78" s="155" t="str">
        <f>IF('Peer Inside An EBITDA Multiple'!$H$30&gt;25,B65+11,"")</f>
        <v/>
      </c>
      <c r="D78" s="139" t="str">
        <f>IF('Peer Inside An EBITDA Multiple'!$H$30&gt;25,D65,"")</f>
        <v/>
      </c>
      <c r="E78" s="136"/>
      <c r="F78" s="144" t="str">
        <f>IF('Peer Inside An EBITDA Multiple'!$H$30&gt;25,"["&amp;TEXT('Peer Inside An EBITDA Multiple'!$C$39,"0")&amp;"]/["&amp;'Peer Inside An EBITDA Multiple'!C$30&amp;"]","")</f>
        <v/>
      </c>
      <c r="G78" s="146" t="str">
        <f>IF('Peer Inside An EBITDA Multiple'!$H$30&gt;G71,V65,"")</f>
        <v/>
      </c>
      <c r="H78" s="146" t="str">
        <f>IF(26&lt;='Peer Inside An EBITDA Multiple'!$H$30,T65,"")</f>
        <v/>
      </c>
      <c r="I78" s="146" t="str">
        <f>IF(26&lt;='Peer Inside An EBITDA Multiple'!$H$30,-H78,"")</f>
        <v/>
      </c>
      <c r="J78" s="146" t="str">
        <f>IF(26&lt;='Peer Inside An EBITDA Multiple'!$H$30,SUM(G78:I78),"")</f>
        <v/>
      </c>
      <c r="K78" s="146" t="str">
        <f>IF(27&lt;='Peer Inside An EBITDA Multiple'!$H$30,H78,"")</f>
        <v/>
      </c>
      <c r="L78" s="146" t="str">
        <f>IF(27&lt;='Peer Inside An EBITDA Multiple'!$H$30,-K78,"")</f>
        <v/>
      </c>
      <c r="M78" s="146" t="str">
        <f>IF(27&lt;='Peer Inside An EBITDA Multiple'!$H$30,SUM(J78:L78),"")</f>
        <v/>
      </c>
      <c r="N78" s="146" t="str">
        <f>IF(28&lt;='Peer Inside An EBITDA Multiple'!$H$30,K78,"")</f>
        <v/>
      </c>
      <c r="O78" s="146" t="str">
        <f>IF(28&lt;='Peer Inside An EBITDA Multiple'!$H$30,-N78,"")</f>
        <v/>
      </c>
      <c r="P78" s="146" t="str">
        <f>IF(28&lt;='Peer Inside An EBITDA Multiple'!$H$30,SUM(M78:O78),"")</f>
        <v/>
      </c>
      <c r="Q78" s="146" t="str">
        <f>IF(29&lt;='Peer Inside An EBITDA Multiple'!$H$30,N78,"")</f>
        <v/>
      </c>
      <c r="R78" s="146" t="str">
        <f>IF(29&lt;='Peer Inside An EBITDA Multiple'!$H$30,-Q78,"")</f>
        <v/>
      </c>
      <c r="S78" s="146" t="str">
        <f>IF(29&lt;='Peer Inside An EBITDA Multiple'!$H$30,SUM(P78:R78),"")</f>
        <v/>
      </c>
      <c r="T78" s="146" t="str">
        <f>IF(30&lt;='Peer Inside An EBITDA Multiple'!$H$30,Q78,"")</f>
        <v/>
      </c>
      <c r="U78" s="146" t="str">
        <f>IF(30&lt;='Peer Inside An EBITDA Multiple'!$H$30,-T78,"")</f>
        <v/>
      </c>
      <c r="V78" s="146" t="str">
        <f>IF(30&lt;='Peer Inside An EBITDA Multiple'!$H$30,SUM(S78:U78),"")</f>
        <v/>
      </c>
    </row>
    <row r="79" spans="2:22" ht="12" customHeight="1">
      <c r="B79" s="155" t="str">
        <f>IF('Peer Inside An EBITDA Multiple'!$H$30&gt;25,B66+11,"")</f>
        <v/>
      </c>
      <c r="D79" s="139" t="str">
        <f>IF('Peer Inside An EBITDA Multiple'!$H$30&gt;25,D66,"")</f>
        <v/>
      </c>
      <c r="E79" s="136"/>
      <c r="F79" s="144" t="str">
        <f>IF('Peer Inside An EBITDA Multiple'!$H$30&gt;25,"-["&amp;TEXT(B75,"0")&amp;"]*["&amp;TEXT('Peer Inside An EBITDA Multiple'!$C$11,"0")&amp;"]","")</f>
        <v/>
      </c>
      <c r="G79" s="146" t="str">
        <f>IF('Peer Inside An EBITDA Multiple'!$H$30&gt;G71,V66,"")</f>
        <v/>
      </c>
      <c r="H79" s="146" t="str">
        <f>IF(26&lt;='Peer Inside An EBITDA Multiple'!$H$30,-V62*'Peer Inside An EBITDA Multiple'!$H$11,"")</f>
        <v/>
      </c>
      <c r="I79" s="146" t="str">
        <f>IF(26&lt;='Peer Inside An EBITDA Multiple'!$H$30,-H79,"")</f>
        <v/>
      </c>
      <c r="J79" s="146" t="str">
        <f>IF(26&lt;='Peer Inside An EBITDA Multiple'!$H$30,SUM(G79:I79),"")</f>
        <v/>
      </c>
      <c r="K79" s="146" t="str">
        <f>IF(27&lt;='Peer Inside An EBITDA Multiple'!$H$30,-J75*'Peer Inside An EBITDA Multiple'!$H$11,"")</f>
        <v/>
      </c>
      <c r="L79" s="146" t="str">
        <f>IF(27&lt;='Peer Inside An EBITDA Multiple'!$H$30,-K79,"")</f>
        <v/>
      </c>
      <c r="M79" s="146" t="str">
        <f>IF(27&lt;='Peer Inside An EBITDA Multiple'!$H$30,SUM(J79:L79),"")</f>
        <v/>
      </c>
      <c r="N79" s="146" t="str">
        <f>IF(28&lt;='Peer Inside An EBITDA Multiple'!$H$30,-M75*'Peer Inside An EBITDA Multiple'!$H$11,"")</f>
        <v/>
      </c>
      <c r="O79" s="146" t="str">
        <f>IF(28&lt;='Peer Inside An EBITDA Multiple'!$H$30,-N79,"")</f>
        <v/>
      </c>
      <c r="P79" s="146" t="str">
        <f>IF(28&lt;='Peer Inside An EBITDA Multiple'!$H$30,SUM(M79:O79),"")</f>
        <v/>
      </c>
      <c r="Q79" s="146" t="str">
        <f>IF(29&lt;='Peer Inside An EBITDA Multiple'!$H$30,-P75*'Peer Inside An EBITDA Multiple'!$H$11,"")</f>
        <v/>
      </c>
      <c r="R79" s="146" t="str">
        <f>IF(29&lt;='Peer Inside An EBITDA Multiple'!$H$30,-Q79,"")</f>
        <v/>
      </c>
      <c r="S79" s="146" t="str">
        <f>IF(29&lt;='Peer Inside An EBITDA Multiple'!$H$30,SUM(P79:R79),"")</f>
        <v/>
      </c>
      <c r="T79" s="146" t="str">
        <f>IF(30&lt;='Peer Inside An EBITDA Multiple'!$H$30,-S75*'Peer Inside An EBITDA Multiple'!$H$11,"")</f>
        <v/>
      </c>
      <c r="U79" s="146" t="str">
        <f>IF(30&lt;='Peer Inside An EBITDA Multiple'!$H$30,-T79,"")</f>
        <v/>
      </c>
      <c r="V79" s="146" t="str">
        <f>IF(30&lt;='Peer Inside An EBITDA Multiple'!$H$30,SUM(S79:U79),"")</f>
        <v/>
      </c>
    </row>
    <row r="80" spans="2:22" ht="12" customHeight="1">
      <c r="B80" s="155" t="str">
        <f>IF('Peer Inside An EBITDA Multiple'!$H$30&gt;25,B67+11,"")</f>
        <v/>
      </c>
      <c r="D80" s="139" t="str">
        <f>IF('Peer Inside An EBITDA Multiple'!$H$30&gt;25,D67,"")</f>
        <v/>
      </c>
      <c r="E80" s="136"/>
      <c r="F80" s="144" t="str">
        <f>IF('Peer Inside An EBITDA Multiple'!$H$30&gt;25,"-["&amp;TEXT(B74,"0")&amp;"]*["&amp;'Peer Inside An EBITDA Multiple'!$C$9&amp;"]","")</f>
        <v/>
      </c>
      <c r="G80" s="146" t="str">
        <f>IF('Peer Inside An EBITDA Multiple'!$H$30&gt;G71,V67,"")</f>
        <v/>
      </c>
      <c r="H80" s="146" t="str">
        <f>IF(26&lt;='Peer Inside An EBITDA Multiple'!$H$30,-V61*'Peer Inside An EBITDA Multiple'!$H9,"")</f>
        <v/>
      </c>
      <c r="I80" s="146" t="str">
        <f>IF(26&lt;='Peer Inside An EBITDA Multiple'!$H$30,-H80,"")</f>
        <v/>
      </c>
      <c r="J80" s="146" t="str">
        <f>IF(26&lt;='Peer Inside An EBITDA Multiple'!$H$30,SUM(G80:I80),"")</f>
        <v/>
      </c>
      <c r="K80" s="146" t="str">
        <f>IF(27&lt;='Peer Inside An EBITDA Multiple'!$H$30,-J74*'Peer Inside An EBITDA Multiple'!$H9,"")</f>
        <v/>
      </c>
      <c r="L80" s="146" t="str">
        <f>IF(27&lt;='Peer Inside An EBITDA Multiple'!$H$30,-K80,"")</f>
        <v/>
      </c>
      <c r="M80" s="146" t="str">
        <f>IF(27&lt;='Peer Inside An EBITDA Multiple'!$H$30,SUM(J80:L80),"")</f>
        <v/>
      </c>
      <c r="N80" s="146" t="str">
        <f>IF(28&lt;='Peer Inside An EBITDA Multiple'!$H$30,-M74*'Peer Inside An EBITDA Multiple'!$H9,"")</f>
        <v/>
      </c>
      <c r="O80" s="146" t="str">
        <f>IF(28&lt;='Peer Inside An EBITDA Multiple'!$H$30,-N80,"")</f>
        <v/>
      </c>
      <c r="P80" s="146" t="str">
        <f>IF(28&lt;='Peer Inside An EBITDA Multiple'!$H$30,SUM(M80:O80),"")</f>
        <v/>
      </c>
      <c r="Q80" s="146" t="str">
        <f>IF(29&lt;='Peer Inside An EBITDA Multiple'!$H$30,-P74*'Peer Inside An EBITDA Multiple'!$H9,"")</f>
        <v/>
      </c>
      <c r="R80" s="146" t="str">
        <f>IF(29&lt;='Peer Inside An EBITDA Multiple'!$H$30,-Q80,"")</f>
        <v/>
      </c>
      <c r="S80" s="146" t="str">
        <f>IF(29&lt;='Peer Inside An EBITDA Multiple'!$H$30,SUM(P80:R80),"")</f>
        <v/>
      </c>
      <c r="T80" s="146" t="str">
        <f>IF(30&lt;='Peer Inside An EBITDA Multiple'!$H$30,-S74*'Peer Inside An EBITDA Multiple'!$H9,"")</f>
        <v/>
      </c>
      <c r="U80" s="146" t="str">
        <f>IF(30&lt;='Peer Inside An EBITDA Multiple'!$H$30,-T80,"")</f>
        <v/>
      </c>
      <c r="V80" s="146" t="str">
        <f>IF(30&lt;='Peer Inside An EBITDA Multiple'!$H$30,SUM(S80:U80),"")</f>
        <v/>
      </c>
    </row>
    <row r="81" spans="2:22" ht="12" customHeight="1">
      <c r="B81" s="155" t="str">
        <f>IF('Peer Inside An EBITDA Multiple'!$H$30&gt;25,B68+11,"")</f>
        <v/>
      </c>
      <c r="D81" s="139" t="str">
        <f>IF('Peer Inside An EBITDA Multiple'!$H$30&gt;25,D68,"")</f>
        <v/>
      </c>
      <c r="E81" s="136"/>
      <c r="F81" s="144" t="str">
        <f>IF('Peer Inside An EBITDA Multiple'!$H$30&gt;25,"-SUM(["&amp;TEXT(B77,"0")&amp;"]:["&amp;TEXT(B80,"0")&amp;"])*["&amp;'Peer Inside An EBITDA Multiple'!$C$12&amp;"]","")</f>
        <v/>
      </c>
      <c r="G81" s="146" t="str">
        <f>IF('Peer Inside An EBITDA Multiple'!$H$30&gt;G71,V68,"")</f>
        <v/>
      </c>
      <c r="H81" s="146" t="str">
        <f>IF(26&lt;='Peer Inside An EBITDA Multiple'!$H$30,-SUM(H77:H80)*'Peer Inside An EBITDA Multiple'!$H$12,"")</f>
        <v/>
      </c>
      <c r="I81" s="146" t="str">
        <f>IF(26&lt;='Peer Inside An EBITDA Multiple'!$H$30,-H81,"")</f>
        <v/>
      </c>
      <c r="J81" s="146" t="str">
        <f>IF(26&lt;='Peer Inside An EBITDA Multiple'!$H$30,SUM(G81:I81),"")</f>
        <v/>
      </c>
      <c r="K81" s="146" t="str">
        <f>IF(27&lt;='Peer Inside An EBITDA Multiple'!$H$30,-SUM(K77:K80)*'Peer Inside An EBITDA Multiple'!$H$12,"")</f>
        <v/>
      </c>
      <c r="L81" s="146" t="str">
        <f>IF(27&lt;='Peer Inside An EBITDA Multiple'!$H$30,-K81,"")</f>
        <v/>
      </c>
      <c r="M81" s="146" t="str">
        <f>IF(27&lt;='Peer Inside An EBITDA Multiple'!$H$30,SUM(J81:L81),"")</f>
        <v/>
      </c>
      <c r="N81" s="146" t="str">
        <f>IF(28&lt;='Peer Inside An EBITDA Multiple'!$H$30,-SUM(N77:N80)*'Peer Inside An EBITDA Multiple'!$H$12,"")</f>
        <v/>
      </c>
      <c r="O81" s="146" t="str">
        <f>IF(28&lt;='Peer Inside An EBITDA Multiple'!$H$30,-N81,"")</f>
        <v/>
      </c>
      <c r="P81" s="146" t="str">
        <f>IF(28&lt;='Peer Inside An EBITDA Multiple'!$H$30,SUM(M81:O81),"")</f>
        <v/>
      </c>
      <c r="Q81" s="146" t="str">
        <f>IF(29&lt;='Peer Inside An EBITDA Multiple'!$H$30,-SUM(Q77:Q80)*'Peer Inside An EBITDA Multiple'!$H$12,"")</f>
        <v/>
      </c>
      <c r="R81" s="146" t="str">
        <f>IF(29&lt;='Peer Inside An EBITDA Multiple'!$H$30,-Q81,"")</f>
        <v/>
      </c>
      <c r="S81" s="146" t="str">
        <f>IF(29&lt;='Peer Inside An EBITDA Multiple'!$H$30,SUM(P81:R81),"")</f>
        <v/>
      </c>
      <c r="T81" s="146" t="str">
        <f>IF(30&lt;='Peer Inside An EBITDA Multiple'!$H$30,-SUM(T77:T80)*'Peer Inside An EBITDA Multiple'!$H$12,"")</f>
        <v/>
      </c>
      <c r="U81" s="146" t="str">
        <f>IF(30&lt;='Peer Inside An EBITDA Multiple'!$H$30,-T81,"")</f>
        <v/>
      </c>
      <c r="V81" s="146" t="str">
        <f>IF(30&lt;='Peer Inside An EBITDA Multiple'!$H$30,SUM(S81:U81),"")</f>
        <v/>
      </c>
    </row>
    <row r="82" spans="2:22" ht="12.75" customHeight="1" thickBot="1">
      <c r="B82" s="155" t="str">
        <f>IF('Peer Inside An EBITDA Multiple'!$H$30&gt;25,B69+11,"")</f>
        <v/>
      </c>
      <c r="D82" s="139" t="str">
        <f>IF('Peer Inside An EBITDA Multiple'!$H$30&gt;25,D69,"")</f>
        <v/>
      </c>
      <c r="E82" s="136"/>
      <c r="F82" s="144" t="str">
        <f>IF('Peer Inside An EBITDA Multiple'!$H$30&gt;25,"SUM(["&amp;TEXT(B72,"0")&amp;"]:["&amp;TEXT(B81,"0")&amp;"])","")</f>
        <v/>
      </c>
      <c r="G82" s="151" t="str">
        <f>IF(V58&lt;'Peer Inside An EBITDA Multiple'!$H$30,ABS(SUM(G72:G81)),"")</f>
        <v/>
      </c>
      <c r="H82" s="151" t="str">
        <f>IF(J71&lt;='Peer Inside An EBITDA Multiple'!$H$30,ABS(SUM(H72:H81)),"")</f>
        <v/>
      </c>
      <c r="I82" s="151" t="str">
        <f>IF(J71&lt;='Peer Inside An EBITDA Multiple'!$H$30,ABS(SUM(I72:I81)),"")</f>
        <v/>
      </c>
      <c r="J82" s="151" t="str">
        <f>IF(J71&lt;='Peer Inside An EBITDA Multiple'!$H$30,ABS(SUM(J72:J81)),"")</f>
        <v/>
      </c>
      <c r="K82" s="151" t="str">
        <f>IF(M71&lt;='Peer Inside An EBITDA Multiple'!$H$30,ABS(SUM(K72:K81)),"")</f>
        <v/>
      </c>
      <c r="L82" s="151" t="str">
        <f>IF(M71&lt;='Peer Inside An EBITDA Multiple'!$H$30,ABS(SUM(L72:L81)),"")</f>
        <v/>
      </c>
      <c r="M82" s="151" t="str">
        <f>IF(M71&lt;='Peer Inside An EBITDA Multiple'!$H$30,ABS(SUM(M72:M81)),"")</f>
        <v/>
      </c>
      <c r="N82" s="151" t="str">
        <f>IF(P71&lt;='Peer Inside An EBITDA Multiple'!$H$30,ABS(SUM(N72:N81)),"")</f>
        <v/>
      </c>
      <c r="O82" s="151" t="str">
        <f>IF(P71&lt;='Peer Inside An EBITDA Multiple'!$H$30,ABS(SUM(O72:O81)),"")</f>
        <v/>
      </c>
      <c r="P82" s="151" t="str">
        <f>IF(P71&lt;='Peer Inside An EBITDA Multiple'!$H$30,ABS(SUM(P72:P81)),"")</f>
        <v/>
      </c>
      <c r="Q82" s="151" t="str">
        <f>IF(S71&lt;='Peer Inside An EBITDA Multiple'!$H$30,ABS(SUM(Q72:Q81)),"")</f>
        <v/>
      </c>
      <c r="R82" s="151" t="str">
        <f>IF(S71&lt;='Peer Inside An EBITDA Multiple'!$H$30,ABS(SUM(R72:R81)),"")</f>
        <v/>
      </c>
      <c r="S82" s="151" t="str">
        <f>IF(S71&lt;='Peer Inside An EBITDA Multiple'!$H$30,ABS(SUM(S72:S81)),"")</f>
        <v/>
      </c>
      <c r="T82" s="151" t="str">
        <f>IF(V71&lt;='Peer Inside An EBITDA Multiple'!$H$30,ABS(SUM(T72:T81)),"")</f>
        <v/>
      </c>
      <c r="U82" s="151" t="str">
        <f>IF(V71&lt;='Peer Inside An EBITDA Multiple'!$H$30,ABS(SUM(U72:U81)),"")</f>
        <v/>
      </c>
      <c r="V82" s="151" t="str">
        <f>IF(V71&lt;='Peer Inside An EBITDA Multiple'!$H$30,ABS(SUM(V72:V81)),"")</f>
        <v/>
      </c>
    </row>
    <row r="83" spans="2:22" ht="9" customHeight="1" thickTop="1"/>
    <row r="84" spans="2:22" ht="12" customHeight="1">
      <c r="D84" s="138" t="str">
        <f>IF('Peer Inside An EBITDA Multiple'!$H$30&gt;30,IF('Peer Inside An EBITDA Multiple'!$H$30=31,"Trial Balance 31","Trial Balances 31 - "&amp;IF('Peer Inside An EBITDA Multiple'!$H$30&lt;=34,'Peer Inside An EBITDA Multiple'!$H$30,"35")),"")</f>
        <v/>
      </c>
      <c r="E84" s="138"/>
      <c r="F84" s="143"/>
      <c r="G84" s="149" t="str">
        <f>IF(V71&lt;'Peer Inside An EBITDA Multiple'!$H$30,V71,"")</f>
        <v/>
      </c>
      <c r="H84" s="149" t="str">
        <f>IF(G84&lt;'Peer Inside An EBITDA Multiple'!$H$30,"Activity","")</f>
        <v/>
      </c>
      <c r="I84" s="149" t="str">
        <f>IF(G84&lt;'Peer Inside An EBITDA Multiple'!$H$30,"Close","")</f>
        <v/>
      </c>
      <c r="J84" s="150" t="str">
        <f>IF(G84&lt;'Peer Inside An EBITDA Multiple'!$H$30,G84+1,"")</f>
        <v/>
      </c>
      <c r="K84" s="149" t="str">
        <f>IF(J84&lt;'Peer Inside An EBITDA Multiple'!$H$30,"Activity","")</f>
        <v/>
      </c>
      <c r="L84" s="149" t="str">
        <f>IF(J84&lt;'Peer Inside An EBITDA Multiple'!$H$30,"Close","")</f>
        <v/>
      </c>
      <c r="M84" s="150" t="str">
        <f>IF(J84&lt;'Peer Inside An EBITDA Multiple'!$H$30,J84+1,"")</f>
        <v/>
      </c>
      <c r="N84" s="149" t="str">
        <f>IF(M84&lt;'Peer Inside An EBITDA Multiple'!$H$30,"Activity","")</f>
        <v/>
      </c>
      <c r="O84" s="149" t="str">
        <f>IF(M84&lt;'Peer Inside An EBITDA Multiple'!$H$30,"Close","")</f>
        <v/>
      </c>
      <c r="P84" s="150" t="str">
        <f>IF(M84&lt;'Peer Inside An EBITDA Multiple'!$H$30,M84+1,"")</f>
        <v/>
      </c>
      <c r="Q84" s="149" t="str">
        <f>IF(P84&lt;'Peer Inside An EBITDA Multiple'!$H$30,"Activity","")</f>
        <v/>
      </c>
      <c r="R84" s="149" t="str">
        <f>IF(P84&lt;'Peer Inside An EBITDA Multiple'!$H$30,"Close","")</f>
        <v/>
      </c>
      <c r="S84" s="150" t="str">
        <f>IF(P84&lt;'Peer Inside An EBITDA Multiple'!$H$30,P84+1,"")</f>
        <v/>
      </c>
      <c r="T84" s="149" t="str">
        <f>IF(S84&lt;'Peer Inside An EBITDA Multiple'!$H$30,"Activity","")</f>
        <v/>
      </c>
      <c r="U84" s="149" t="str">
        <f>IF(S84&lt;'Peer Inside An EBITDA Multiple'!$H$30,"Close","")</f>
        <v/>
      </c>
      <c r="V84" s="150" t="str">
        <f>IF(S84&lt;'Peer Inside An EBITDA Multiple'!$H$30,S84+1,"")</f>
        <v/>
      </c>
    </row>
    <row r="85" spans="2:22" ht="12" customHeight="1">
      <c r="B85" s="155" t="str">
        <f>IF('Peer Inside An EBITDA Multiple'!$H$30&gt;30,B72+11,"")</f>
        <v/>
      </c>
      <c r="D85" s="139" t="str">
        <f>IF('Peer Inside An EBITDA Multiple'!$H$30&gt;30,D72,"")</f>
        <v/>
      </c>
      <c r="E85" s="136"/>
      <c r="F85" s="145" t="str">
        <f>IF('Peer Inside An EBITDA Multiple'!$H$30&gt;30,"["&amp;'Peer Inside An EBITDA Multiple'!$C$39&amp;"]","")</f>
        <v/>
      </c>
      <c r="G85" s="146" t="str">
        <f>IF('Peer Inside An EBITDA Multiple'!$H$30&gt;G84,V72,"")</f>
        <v/>
      </c>
      <c r="I85" s="146" t="str">
        <f>IF(31&lt;'Peer Inside An EBITDA Multiple'!$H$30,"",IF(31='Peer Inside An EBITDA Multiple'!$H$30,-V72,""))</f>
        <v/>
      </c>
      <c r="J85" s="146" t="str">
        <f>IF(31&lt;='Peer Inside An EBITDA Multiple'!$H$30,SUM(G85:I85),"")</f>
        <v/>
      </c>
      <c r="L85" s="146" t="str">
        <f>IF(32&lt;'Peer Inside An EBITDA Multiple'!$H$30,"",IF(32='Peer Inside An EBITDA Multiple'!$H$30,-J85,""))</f>
        <v/>
      </c>
      <c r="M85" s="146" t="str">
        <f>IF(32&lt;='Peer Inside An EBITDA Multiple'!$H$30,SUM(J85:L85),"")</f>
        <v/>
      </c>
      <c r="O85" s="146" t="str">
        <f>IF(33&lt;'Peer Inside An EBITDA Multiple'!$H$30,"",IF(33='Peer Inside An EBITDA Multiple'!$H$30,-M85,""))</f>
        <v/>
      </c>
      <c r="P85" s="146" t="str">
        <f>IF(33&lt;='Peer Inside An EBITDA Multiple'!$H$30,SUM(M85:O85),"")</f>
        <v/>
      </c>
      <c r="R85" s="146" t="str">
        <f>IF(34&lt;'Peer Inside An EBITDA Multiple'!$H$30,"",IF(34='Peer Inside An EBITDA Multiple'!$H$30,-P85,""))</f>
        <v/>
      </c>
      <c r="S85" s="146" t="str">
        <f>IF(34&lt;='Peer Inside An EBITDA Multiple'!$H$30,SUM(P85:R85),"")</f>
        <v/>
      </c>
      <c r="U85" s="146" t="str">
        <f>IF(35&lt;'Peer Inside An EBITDA Multiple'!$H$30,"",IF(35='Peer Inside An EBITDA Multiple'!$H$30,-S85,""))</f>
        <v/>
      </c>
      <c r="V85" s="146" t="str">
        <f>IF(35&lt;='Peer Inside An EBITDA Multiple'!$H$30,SUM(S85:U85),"")</f>
        <v/>
      </c>
    </row>
    <row r="86" spans="2:22" ht="12" customHeight="1">
      <c r="B86" s="155" t="str">
        <f>IF('Peer Inside An EBITDA Multiple'!$H$30&gt;30,B73+11,"")</f>
        <v/>
      </c>
      <c r="D86" s="139" t="str">
        <f>IF('Peer Inside An EBITDA Multiple'!$H$30&gt;30,D73,"")</f>
        <v/>
      </c>
      <c r="E86" s="136"/>
      <c r="F86" s="144" t="str">
        <f>IF('Peer Inside An EBITDA Multiple'!$H$30&gt;30,"["&amp;TEXT(B86,"0")&amp;"]-["&amp;TEXT(B91,"0")&amp;"]","")</f>
        <v/>
      </c>
      <c r="G86" s="146" t="str">
        <f>IF('Peer Inside An EBITDA Multiple'!$H$30&gt;G84,V73,"")</f>
        <v/>
      </c>
      <c r="H86" s="146" t="str">
        <f>IF(31&lt;='Peer Inside An EBITDA Multiple'!$H$30,-H91,"")</f>
        <v/>
      </c>
      <c r="I86" s="146" t="str">
        <f>IF(31='Peer Inside An EBITDA Multiple'!$H$30,-I85,"")</f>
        <v/>
      </c>
      <c r="J86" s="146" t="str">
        <f>IF(31='Peer Inside An EBITDA Multiple'!$H$30,SUM(G86:I86),IF(31&lt;='Peer Inside An EBITDA Multiple'!$H$30,G86-H91,""))</f>
        <v/>
      </c>
      <c r="K86" s="146" t="str">
        <f>IF(32&lt;='Peer Inside An EBITDA Multiple'!$H$30,-K91,"")</f>
        <v/>
      </c>
      <c r="L86" s="146" t="str">
        <f>IF(32='Peer Inside An EBITDA Multiple'!$H$30,-L85,"")</f>
        <v/>
      </c>
      <c r="M86" s="146" t="str">
        <f>IF(32='Peer Inside An EBITDA Multiple'!$H$30,SUM(J86:L86),IF(32&lt;='Peer Inside An EBITDA Multiple'!$H$30,J86-K91,""))</f>
        <v/>
      </c>
      <c r="N86" s="146" t="str">
        <f>IF(33&lt;='Peer Inside An EBITDA Multiple'!$H$30,-N91,"")</f>
        <v/>
      </c>
      <c r="O86" s="146" t="str">
        <f>IF(33='Peer Inside An EBITDA Multiple'!$H$30,-O85,"")</f>
        <v/>
      </c>
      <c r="P86" s="146" t="str">
        <f>IF(33='Peer Inside An EBITDA Multiple'!$H$30,SUM(M86:O86),IF(33&lt;='Peer Inside An EBITDA Multiple'!$H$30,M86-N91,""))</f>
        <v/>
      </c>
      <c r="Q86" s="146" t="str">
        <f>IF(34&lt;='Peer Inside An EBITDA Multiple'!$H$30,-Q91,"")</f>
        <v/>
      </c>
      <c r="R86" s="146" t="str">
        <f>IF(34='Peer Inside An EBITDA Multiple'!$H$30,-R85,"")</f>
        <v/>
      </c>
      <c r="S86" s="146" t="str">
        <f>IF(34='Peer Inside An EBITDA Multiple'!$H$30,SUM(P86:R86),IF(34&lt;='Peer Inside An EBITDA Multiple'!$H$30,P86-Q91,""))</f>
        <v/>
      </c>
      <c r="T86" s="146" t="str">
        <f>IF(35&lt;='Peer Inside An EBITDA Multiple'!$H$30,-T91,"")</f>
        <v/>
      </c>
      <c r="U86" s="146" t="str">
        <f>IF(35='Peer Inside An EBITDA Multiple'!$H$30,-U85,"")</f>
        <v/>
      </c>
      <c r="V86" s="146" t="str">
        <f>IF(35='Peer Inside An EBITDA Multiple'!$H$30,SUM(S86:U86),IF(35&lt;='Peer Inside An EBITDA Multiple'!$H$30,S86-T91,""))</f>
        <v/>
      </c>
    </row>
    <row r="87" spans="2:22" ht="12" customHeight="1">
      <c r="B87" s="155" t="str">
        <f>IF('Peer Inside An EBITDA Multiple'!$H$30&gt;30,B74+11,"")</f>
        <v/>
      </c>
      <c r="D87" s="139" t="str">
        <f>IF('Peer Inside An EBITDA Multiple'!$H$30&gt;30,D74,"")</f>
        <v/>
      </c>
      <c r="E87" s="136"/>
      <c r="F87" s="144" t="str">
        <f>IF('Peer Inside An EBITDA Multiple'!$H$30&gt;30,"-SUM(["&amp;TEXT(B85,"0")&amp;"]:["&amp;TEXT(B86,"0")&amp;"],["&amp;TEXT(B88,"0")&amp;"]:["&amp;TEXT(B94,"0")&amp;"])","")</f>
        <v/>
      </c>
      <c r="G87" s="146" t="str">
        <f>IF('Peer Inside An EBITDA Multiple'!$H$30&gt;G84,V74,"")</f>
        <v/>
      </c>
      <c r="H87" s="146" t="str">
        <f>IF(31&lt;='Peer Inside An EBITDA Multiple'!$H$30,-SUM(H85:H86,H88:H94),"")</f>
        <v/>
      </c>
      <c r="J87" s="146" t="str">
        <f>IF(31='Peer Inside An EBITDA Multiple'!$H$30,ABS(SUM(G87:I87)),IF(31&lt;'Peer Inside An EBITDA Multiple'!$H$30,SUM(G87:I87),""))</f>
        <v/>
      </c>
      <c r="K87" s="146" t="str">
        <f>IF(32&lt;='Peer Inside An EBITDA Multiple'!$H$30,-SUM(K85:K86,K88:K94),"")</f>
        <v/>
      </c>
      <c r="M87" s="146" t="str">
        <f>IF(32='Peer Inside An EBITDA Multiple'!$H$30,ABS(SUM(J87:L87)),IF(32&lt;'Peer Inside An EBITDA Multiple'!$H$30,SUM(J87:L87),""))</f>
        <v/>
      </c>
      <c r="N87" s="146" t="str">
        <f>IF(33&lt;='Peer Inside An EBITDA Multiple'!$H$30,-SUM(N85:N86,N88:N94),"")</f>
        <v/>
      </c>
      <c r="P87" s="146" t="str">
        <f>IF(33='Peer Inside An EBITDA Multiple'!$H$30,ABS(SUM(M87:O87)),IF(33&lt;'Peer Inside An EBITDA Multiple'!$H$30,SUM(M87:O87),""))</f>
        <v/>
      </c>
      <c r="Q87" s="146" t="str">
        <f>IF(34&lt;='Peer Inside An EBITDA Multiple'!$H$30,-SUM(Q85:Q86,Q88:Q94),"")</f>
        <v/>
      </c>
      <c r="S87" s="146" t="str">
        <f>IF(34='Peer Inside An EBITDA Multiple'!$H$30,ABS(SUM(P87:R87)),IF(34&lt;'Peer Inside An EBITDA Multiple'!$H$30,SUM(P87:R87),""))</f>
        <v/>
      </c>
      <c r="T87" s="146" t="str">
        <f>IF(35&lt;='Peer Inside An EBITDA Multiple'!$H$30,-SUM(T85:T86,T88:T94),"")</f>
        <v/>
      </c>
      <c r="V87" s="146" t="str">
        <f>IF(35='Peer Inside An EBITDA Multiple'!$H$30,ABS(SUM(S87:U87)),IF(35&lt;'Peer Inside An EBITDA Multiple'!$H$30,SUM(S87:U87),""))</f>
        <v/>
      </c>
    </row>
    <row r="88" spans="2:22" ht="12" customHeight="1">
      <c r="B88" s="155" t="str">
        <f>IF('Peer Inside An EBITDA Multiple'!$H$30&gt;30,B75+11,"")</f>
        <v/>
      </c>
      <c r="D88" s="139" t="str">
        <f>IF('Peer Inside An EBITDA Multiple'!$H$30&gt;30,D75,"")</f>
        <v/>
      </c>
      <c r="E88" s="136"/>
      <c r="F88" s="144" t="str">
        <f>IF('Peer Inside An EBITDA Multiple'!$H$30&gt;30,"-["&amp;'Peer Inside An EBITDA Multiple'!$C$44&amp;"]*["&amp;'Peer Inside An EBITDA Multiple'!$C$10&amp;"]","")</f>
        <v/>
      </c>
      <c r="G88" s="146" t="str">
        <f>IF('Peer Inside An EBITDA Multiple'!$H$30&gt;G84,V75,"")</f>
        <v/>
      </c>
      <c r="H88" s="146" t="str">
        <f>IF(31&lt;='Peer Inside An EBITDA Multiple'!$H$30,-'Peer Inside An EBITDA Multiple'!AM59,"")</f>
        <v/>
      </c>
      <c r="J88" s="146" t="str">
        <f>IF(31='Peer Inside An EBITDA Multiple'!$H$30,ABS(SUM(G88:I88)),IF(31&lt;'Peer Inside An EBITDA Multiple'!$H$30,SUM(G88:I88),""))</f>
        <v/>
      </c>
      <c r="K88" s="146" t="str">
        <f>IF(32&lt;='Peer Inside An EBITDA Multiple'!$H$30,-'Peer Inside An EBITDA Multiple'!AN59,"")</f>
        <v/>
      </c>
      <c r="M88" s="146" t="str">
        <f>IF(32='Peer Inside An EBITDA Multiple'!$H$30,ABS(SUM(J88:L88)),IF(32&lt;'Peer Inside An EBITDA Multiple'!$H$30,SUM(J88:L88),""))</f>
        <v/>
      </c>
      <c r="N88" s="146" t="str">
        <f>IF(33&lt;='Peer Inside An EBITDA Multiple'!$H$30,-'Peer Inside An EBITDA Multiple'!AO59,"")</f>
        <v/>
      </c>
      <c r="P88" s="146" t="str">
        <f>IF(33='Peer Inside An EBITDA Multiple'!$H$30,ABS(SUM(M88:O88)),IF(33&lt;'Peer Inside An EBITDA Multiple'!$H$30,SUM(M88:O88),""))</f>
        <v/>
      </c>
      <c r="Q88" s="146" t="str">
        <f>IF(34&lt;='Peer Inside An EBITDA Multiple'!$H$30,-'Peer Inside An EBITDA Multiple'!AP59,"")</f>
        <v/>
      </c>
      <c r="S88" s="146" t="str">
        <f>IF(34='Peer Inside An EBITDA Multiple'!$H$30,ABS(SUM(P88:R88)),IF(34&lt;'Peer Inside An EBITDA Multiple'!$H$30,SUM(P88:R88),""))</f>
        <v/>
      </c>
      <c r="T88" s="146" t="str">
        <f>IF(35&lt;='Peer Inside An EBITDA Multiple'!$H$30,-'Peer Inside An EBITDA Multiple'!AQ59,"")</f>
        <v/>
      </c>
      <c r="V88" s="146" t="str">
        <f>IF(35='Peer Inside An EBITDA Multiple'!$H$30,ABS(SUM(S88:U88)),IF(35&lt;'Peer Inside An EBITDA Multiple'!$H$30,SUM(S88:U88),""))</f>
        <v/>
      </c>
    </row>
    <row r="89" spans="2:22" ht="12" customHeight="1">
      <c r="B89" s="155" t="str">
        <f>IF('Peer Inside An EBITDA Multiple'!$H$30&gt;30,B76+11,"")</f>
        <v/>
      </c>
      <c r="D89" s="139" t="str">
        <f>IF('Peer Inside An EBITDA Multiple'!$H$30&gt;30,D76,"")</f>
        <v/>
      </c>
      <c r="E89" s="136"/>
      <c r="F89" s="144" t="str">
        <f>IF('Peer Inside An EBITDA Multiple'!$H$30&gt;30,"-["&amp;'Peer Inside An EBITDA Multiple'!$C$44&amp;"]*(1-["&amp;'Peer Inside An EBITDA Multiple'!$C$10&amp;"])","")</f>
        <v/>
      </c>
      <c r="G89" s="146" t="str">
        <f>IF('Peer Inside An EBITDA Multiple'!$H$30&gt;G84,V76,"")</f>
        <v/>
      </c>
      <c r="H89" s="146" t="str">
        <f>IF(31&lt;='Peer Inside An EBITDA Multiple'!$H$30,J89-V76-I89,"")</f>
        <v/>
      </c>
      <c r="I89" s="146" t="str">
        <f>IF(31&lt;='Peer Inside An EBITDA Multiple'!$H$30,-SUM(I90:I94),"")</f>
        <v/>
      </c>
      <c r="J89" s="146" t="str">
        <f>IF(31='Peer Inside An EBITDA Multiple'!$H$30,0,IF(31&lt;'Peer Inside An EBITDA Multiple'!$H$30,-'Peer Inside An EBITDA Multiple'!AM66,""))</f>
        <v/>
      </c>
      <c r="K89" s="146" t="str">
        <f>IF(32&lt;='Peer Inside An EBITDA Multiple'!$H$30,M89-J89-L89,"")</f>
        <v/>
      </c>
      <c r="L89" s="146" t="str">
        <f>IF(32&lt;='Peer Inside An EBITDA Multiple'!$H$30,-SUM(L90:L94),"")</f>
        <v/>
      </c>
      <c r="M89" s="146" t="str">
        <f>IF(32='Peer Inside An EBITDA Multiple'!$H$30,0,IF(32&lt;'Peer Inside An EBITDA Multiple'!$H$30,-'Peer Inside An EBITDA Multiple'!AN66,""))</f>
        <v/>
      </c>
      <c r="N89" s="146" t="str">
        <f>IF(33&lt;='Peer Inside An EBITDA Multiple'!$H$30,P89-M89-O89,"")</f>
        <v/>
      </c>
      <c r="O89" s="146" t="str">
        <f>IF(33&lt;='Peer Inside An EBITDA Multiple'!$H$30,-SUM(O90:O94),"")</f>
        <v/>
      </c>
      <c r="P89" s="146" t="str">
        <f>IF(33='Peer Inside An EBITDA Multiple'!$H$30,0,IF(33&lt;'Peer Inside An EBITDA Multiple'!$H$30,-'Peer Inside An EBITDA Multiple'!AO66,""))</f>
        <v/>
      </c>
      <c r="Q89" s="146" t="str">
        <f>IF(34&lt;='Peer Inside An EBITDA Multiple'!$H$30,S89-P89-R89,"")</f>
        <v/>
      </c>
      <c r="R89" s="146" t="str">
        <f>IF(34&lt;='Peer Inside An EBITDA Multiple'!$H$30,-SUM(R90:R94),"")</f>
        <v/>
      </c>
      <c r="S89" s="146" t="str">
        <f>IF(34='Peer Inside An EBITDA Multiple'!$H$30,0,IF(34&lt;'Peer Inside An EBITDA Multiple'!$H$30,-'Peer Inside An EBITDA Multiple'!AP66,""))</f>
        <v/>
      </c>
      <c r="T89" s="146" t="str">
        <f>IF(35&lt;='Peer Inside An EBITDA Multiple'!$H$30,V89-S89-U89,"")</f>
        <v/>
      </c>
      <c r="U89" s="146" t="str">
        <f>IF(35&lt;='Peer Inside An EBITDA Multiple'!$H$30,-SUM(U90:U94),"")</f>
        <v/>
      </c>
      <c r="V89" s="146" t="str">
        <f>IF(35='Peer Inside An EBITDA Multiple'!$H$30,0,IF(35&lt;'Peer Inside An EBITDA Multiple'!$H$30,-'Peer Inside An EBITDA Multiple'!AQ66,""))</f>
        <v/>
      </c>
    </row>
    <row r="90" spans="2:22" ht="12" customHeight="1">
      <c r="B90" s="155" t="str">
        <f>IF('Peer Inside An EBITDA Multiple'!$H$30&gt;30,B77+11,"")</f>
        <v/>
      </c>
      <c r="D90" s="139" t="str">
        <f>IF('Peer Inside An EBITDA Multiple'!$H$30&gt;30,D77,"")</f>
        <v/>
      </c>
      <c r="E90" s="136"/>
      <c r="F90" s="144" t="str">
        <f>IF('Peer Inside An EBITDA Multiple'!$H$30&gt;30,"["&amp;TEXT('Peer Inside An EBITDA Multiple'!$C$46,"0")&amp;"]","")</f>
        <v/>
      </c>
      <c r="G90" s="146" t="str">
        <f>IF('Peer Inside An EBITDA Multiple'!$H$30&gt;G84,V77,"")</f>
        <v/>
      </c>
      <c r="H90" s="146" t="str">
        <f>IF(31&lt;='Peer Inside An EBITDA Multiple'!$H$30,-'Peer Inside An EBITDA Multiple'!AM49,"")</f>
        <v/>
      </c>
      <c r="I90" s="146" t="str">
        <f>IF(31&lt;='Peer Inside An EBITDA Multiple'!$H$30,-H90,"")</f>
        <v/>
      </c>
      <c r="J90" s="146" t="str">
        <f>IF(31&lt;='Peer Inside An EBITDA Multiple'!$H$30,SUM(G90:I90),"")</f>
        <v/>
      </c>
      <c r="K90" s="146" t="str">
        <f>IF(32&lt;='Peer Inside An EBITDA Multiple'!$H$30,-'Peer Inside An EBITDA Multiple'!AN49,"")</f>
        <v/>
      </c>
      <c r="L90" s="146" t="str">
        <f>IF(32&lt;='Peer Inside An EBITDA Multiple'!$H$30,-K90,"")</f>
        <v/>
      </c>
      <c r="M90" s="146" t="str">
        <f>IF(32&lt;='Peer Inside An EBITDA Multiple'!$H$30,SUM(J90:L90),"")</f>
        <v/>
      </c>
      <c r="N90" s="146" t="str">
        <f>IF(33&lt;='Peer Inside An EBITDA Multiple'!$H$30,-'Peer Inside An EBITDA Multiple'!AO49,"")</f>
        <v/>
      </c>
      <c r="O90" s="146" t="str">
        <f>IF(33&lt;='Peer Inside An EBITDA Multiple'!$H$30,-N90,"")</f>
        <v/>
      </c>
      <c r="P90" s="146" t="str">
        <f>IF(33&lt;='Peer Inside An EBITDA Multiple'!$H$30,SUM(M90:O90),"")</f>
        <v/>
      </c>
      <c r="Q90" s="146" t="str">
        <f>IF(34&lt;='Peer Inside An EBITDA Multiple'!$H$30,-'Peer Inside An EBITDA Multiple'!AP49,"")</f>
        <v/>
      </c>
      <c r="R90" s="146" t="str">
        <f>IF(34&lt;='Peer Inside An EBITDA Multiple'!$H$30,-Q90,"")</f>
        <v/>
      </c>
      <c r="S90" s="146" t="str">
        <f>IF(34&lt;='Peer Inside An EBITDA Multiple'!$H$30,SUM(P90:R90),"")</f>
        <v/>
      </c>
      <c r="T90" s="146" t="str">
        <f>IF(35&lt;='Peer Inside An EBITDA Multiple'!$H$30,-'Peer Inside An EBITDA Multiple'!AQ49,"")</f>
        <v/>
      </c>
      <c r="U90" s="146" t="str">
        <f>IF(35&lt;='Peer Inside An EBITDA Multiple'!$H$30,-T90,"")</f>
        <v/>
      </c>
      <c r="V90" s="146" t="str">
        <f>IF(35&lt;='Peer Inside An EBITDA Multiple'!$H$30,SUM(S90:U90),"")</f>
        <v/>
      </c>
    </row>
    <row r="91" spans="2:22" ht="12" customHeight="1">
      <c r="B91" s="155" t="str">
        <f>IF('Peer Inside An EBITDA Multiple'!$H$30&gt;30,B78+11,"")</f>
        <v/>
      </c>
      <c r="D91" s="139" t="str">
        <f>IF('Peer Inside An EBITDA Multiple'!$H$30&gt;30,D78,"")</f>
        <v/>
      </c>
      <c r="E91" s="136"/>
      <c r="F91" s="144" t="str">
        <f>IF('Peer Inside An EBITDA Multiple'!$H$30&gt;30,"["&amp;TEXT('Peer Inside An EBITDA Multiple'!$C$39,"0")&amp;"]/["&amp;'Peer Inside An EBITDA Multiple'!C$30&amp;"]","")</f>
        <v/>
      </c>
      <c r="G91" s="146" t="str">
        <f>IF('Peer Inside An EBITDA Multiple'!$H$30&gt;G84,V78,"")</f>
        <v/>
      </c>
      <c r="H91" s="146" t="str">
        <f>IF(31&lt;='Peer Inside An EBITDA Multiple'!$H$30,T78,"")</f>
        <v/>
      </c>
      <c r="I91" s="146" t="str">
        <f>IF(31&lt;='Peer Inside An EBITDA Multiple'!$H$30,-H91,"")</f>
        <v/>
      </c>
      <c r="J91" s="146" t="str">
        <f>IF(31&lt;='Peer Inside An EBITDA Multiple'!$H$30,SUM(G91:I91),"")</f>
        <v/>
      </c>
      <c r="K91" s="146" t="str">
        <f>IF(32&lt;='Peer Inside An EBITDA Multiple'!$H$30,H91,"")</f>
        <v/>
      </c>
      <c r="L91" s="146" t="str">
        <f>IF(32&lt;='Peer Inside An EBITDA Multiple'!$H$30,-K91,"")</f>
        <v/>
      </c>
      <c r="M91" s="146" t="str">
        <f>IF(32&lt;='Peer Inside An EBITDA Multiple'!$H$30,SUM(J91:L91),"")</f>
        <v/>
      </c>
      <c r="N91" s="146" t="str">
        <f>IF(33&lt;='Peer Inside An EBITDA Multiple'!$H$30,K91,"")</f>
        <v/>
      </c>
      <c r="O91" s="146" t="str">
        <f>IF(33&lt;='Peer Inside An EBITDA Multiple'!$H$30,-N91,"")</f>
        <v/>
      </c>
      <c r="P91" s="146" t="str">
        <f>IF(33&lt;='Peer Inside An EBITDA Multiple'!$H$30,SUM(M91:O91),"")</f>
        <v/>
      </c>
      <c r="Q91" s="146" t="str">
        <f>IF(34&lt;='Peer Inside An EBITDA Multiple'!$H$30,N91,"")</f>
        <v/>
      </c>
      <c r="R91" s="146" t="str">
        <f>IF(34&lt;='Peer Inside An EBITDA Multiple'!$H$30,-Q91,"")</f>
        <v/>
      </c>
      <c r="S91" s="146" t="str">
        <f>IF(34&lt;='Peer Inside An EBITDA Multiple'!$H$30,SUM(P91:R91),"")</f>
        <v/>
      </c>
      <c r="T91" s="146" t="str">
        <f>IF(35&lt;='Peer Inside An EBITDA Multiple'!$H$30,Q91,"")</f>
        <v/>
      </c>
      <c r="U91" s="146" t="str">
        <f>IF(35&lt;='Peer Inside An EBITDA Multiple'!$H$30,-T91,"")</f>
        <v/>
      </c>
      <c r="V91" s="146" t="str">
        <f>IF(35&lt;='Peer Inside An EBITDA Multiple'!$H$30,SUM(S91:U91),"")</f>
        <v/>
      </c>
    </row>
    <row r="92" spans="2:22" ht="12" customHeight="1">
      <c r="B92" s="155" t="str">
        <f>IF('Peer Inside An EBITDA Multiple'!$H$30&gt;30,B79+11,"")</f>
        <v/>
      </c>
      <c r="D92" s="139" t="str">
        <f>IF('Peer Inside An EBITDA Multiple'!$H$30&gt;30,D79,"")</f>
        <v/>
      </c>
      <c r="E92" s="136"/>
      <c r="F92" s="144" t="str">
        <f>IF('Peer Inside An EBITDA Multiple'!$H$30&gt;30,"-["&amp;TEXT(B88,"0")&amp;"]*["&amp;TEXT('Peer Inside An EBITDA Multiple'!$C$11,"0")&amp;"]","")</f>
        <v/>
      </c>
      <c r="G92" s="146" t="str">
        <f>IF('Peer Inside An EBITDA Multiple'!$H$30&gt;G84,V79,"")</f>
        <v/>
      </c>
      <c r="H92" s="146" t="str">
        <f>IF(31&lt;='Peer Inside An EBITDA Multiple'!$H$30,-V75*'Peer Inside An EBITDA Multiple'!$H$11,"")</f>
        <v/>
      </c>
      <c r="I92" s="146" t="str">
        <f>IF(31&lt;='Peer Inside An EBITDA Multiple'!$H$30,-H92,"")</f>
        <v/>
      </c>
      <c r="J92" s="146" t="str">
        <f>IF(31&lt;='Peer Inside An EBITDA Multiple'!$H$30,SUM(G92:I92),"")</f>
        <v/>
      </c>
      <c r="K92" s="146" t="str">
        <f>IF(32&lt;='Peer Inside An EBITDA Multiple'!$H$30,-J88*'Peer Inside An EBITDA Multiple'!$H$11,"")</f>
        <v/>
      </c>
      <c r="L92" s="146" t="str">
        <f>IF(32&lt;='Peer Inside An EBITDA Multiple'!$H$30,-K92,"")</f>
        <v/>
      </c>
      <c r="M92" s="146" t="str">
        <f>IF(32&lt;='Peer Inside An EBITDA Multiple'!$H$30,SUM(J92:L92),"")</f>
        <v/>
      </c>
      <c r="N92" s="146" t="str">
        <f>IF(33&lt;='Peer Inside An EBITDA Multiple'!$H$30,-M88*'Peer Inside An EBITDA Multiple'!$H$11,"")</f>
        <v/>
      </c>
      <c r="O92" s="146" t="str">
        <f>IF(33&lt;='Peer Inside An EBITDA Multiple'!$H$30,-N92,"")</f>
        <v/>
      </c>
      <c r="P92" s="146" t="str">
        <f>IF(33&lt;='Peer Inside An EBITDA Multiple'!$H$30,SUM(M92:O92),"")</f>
        <v/>
      </c>
      <c r="Q92" s="146" t="str">
        <f>IF(34&lt;='Peer Inside An EBITDA Multiple'!$H$30,-P88*'Peer Inside An EBITDA Multiple'!$H$11,"")</f>
        <v/>
      </c>
      <c r="R92" s="146" t="str">
        <f>IF(34&lt;='Peer Inside An EBITDA Multiple'!$H$30,-Q92,"")</f>
        <v/>
      </c>
      <c r="S92" s="146" t="str">
        <f>IF(34&lt;='Peer Inside An EBITDA Multiple'!$H$30,SUM(P92:R92),"")</f>
        <v/>
      </c>
      <c r="T92" s="146" t="str">
        <f>IF(35&lt;='Peer Inside An EBITDA Multiple'!$H$30,-S88*'Peer Inside An EBITDA Multiple'!$H$11,"")</f>
        <v/>
      </c>
      <c r="U92" s="146" t="str">
        <f>IF(35&lt;='Peer Inside An EBITDA Multiple'!$H$30,-T92,"")</f>
        <v/>
      </c>
      <c r="V92" s="146" t="str">
        <f>IF(35&lt;='Peer Inside An EBITDA Multiple'!$H$30,SUM(S92:U92),"")</f>
        <v/>
      </c>
    </row>
    <row r="93" spans="2:22" ht="12" customHeight="1">
      <c r="B93" s="155" t="str">
        <f>IF('Peer Inside An EBITDA Multiple'!$H$30&gt;30,B80+11,"")</f>
        <v/>
      </c>
      <c r="D93" s="139" t="str">
        <f>IF('Peer Inside An EBITDA Multiple'!$H$30&gt;30,D80,"")</f>
        <v/>
      </c>
      <c r="E93" s="136"/>
      <c r="F93" s="144" t="str">
        <f>IF('Peer Inside An EBITDA Multiple'!$H$30&gt;30,"-["&amp;TEXT(B87,"0")&amp;"]*["&amp;'Peer Inside An EBITDA Multiple'!$C$9&amp;"]","")</f>
        <v/>
      </c>
      <c r="G93" s="146" t="str">
        <f>IF('Peer Inside An EBITDA Multiple'!$H$30&gt;G84,V80,"")</f>
        <v/>
      </c>
      <c r="H93" s="146" t="str">
        <f>IF(31&lt;='Peer Inside An EBITDA Multiple'!$H$30,-V74*'Peer Inside An EBITDA Multiple'!$H9,"")</f>
        <v/>
      </c>
      <c r="I93" s="146" t="str">
        <f>IF(31&lt;='Peer Inside An EBITDA Multiple'!$H$30,-H93,"")</f>
        <v/>
      </c>
      <c r="J93" s="146" t="str">
        <f>IF(31&lt;='Peer Inside An EBITDA Multiple'!$H$30,SUM(G93:I93),"")</f>
        <v/>
      </c>
      <c r="K93" s="146" t="str">
        <f>IF(32&lt;='Peer Inside An EBITDA Multiple'!$H$30,-J87*'Peer Inside An EBITDA Multiple'!$H9,"")</f>
        <v/>
      </c>
      <c r="L93" s="146" t="str">
        <f>IF(32&lt;='Peer Inside An EBITDA Multiple'!$H$30,-K93,"")</f>
        <v/>
      </c>
      <c r="M93" s="146" t="str">
        <f>IF(32&lt;='Peer Inside An EBITDA Multiple'!$H$30,SUM(J93:L93),"")</f>
        <v/>
      </c>
      <c r="N93" s="146" t="str">
        <f>IF(33&lt;='Peer Inside An EBITDA Multiple'!$H$30,-M87*'Peer Inside An EBITDA Multiple'!$H9,"")</f>
        <v/>
      </c>
      <c r="O93" s="146" t="str">
        <f>IF(33&lt;='Peer Inside An EBITDA Multiple'!$H$30,-N93,"")</f>
        <v/>
      </c>
      <c r="P93" s="146" t="str">
        <f>IF(33&lt;='Peer Inside An EBITDA Multiple'!$H$30,SUM(M93:O93),"")</f>
        <v/>
      </c>
      <c r="Q93" s="146" t="str">
        <f>IF(34&lt;='Peer Inside An EBITDA Multiple'!$H$30,-P87*'Peer Inside An EBITDA Multiple'!$H9,"")</f>
        <v/>
      </c>
      <c r="R93" s="146" t="str">
        <f>IF(34&lt;='Peer Inside An EBITDA Multiple'!$H$30,-Q93,"")</f>
        <v/>
      </c>
      <c r="S93" s="146" t="str">
        <f>IF(34&lt;='Peer Inside An EBITDA Multiple'!$H$30,SUM(P93:R93),"")</f>
        <v/>
      </c>
      <c r="T93" s="146" t="str">
        <f>IF(35&lt;='Peer Inside An EBITDA Multiple'!$H$30,-S87*'Peer Inside An EBITDA Multiple'!$H9,"")</f>
        <v/>
      </c>
      <c r="U93" s="146" t="str">
        <f>IF(35&lt;='Peer Inside An EBITDA Multiple'!$H$30,-T93,"")</f>
        <v/>
      </c>
      <c r="V93" s="146" t="str">
        <f>IF(35&lt;='Peer Inside An EBITDA Multiple'!$H$30,SUM(S93:U93),"")</f>
        <v/>
      </c>
    </row>
    <row r="94" spans="2:22" ht="12" customHeight="1">
      <c r="B94" s="155" t="str">
        <f>IF('Peer Inside An EBITDA Multiple'!$H$30&gt;30,B81+11,"")</f>
        <v/>
      </c>
      <c r="D94" s="139" t="str">
        <f>IF('Peer Inside An EBITDA Multiple'!$H$30&gt;30,D81,"")</f>
        <v/>
      </c>
      <c r="E94" s="136"/>
      <c r="F94" s="144" t="str">
        <f>IF('Peer Inside An EBITDA Multiple'!$H$30&gt;30,"-SUM(["&amp;TEXT(B90,"0")&amp;"]:["&amp;TEXT(B93,"0")&amp;"])*["&amp;'Peer Inside An EBITDA Multiple'!$C$12&amp;"]","")</f>
        <v/>
      </c>
      <c r="G94" s="146" t="str">
        <f>IF('Peer Inside An EBITDA Multiple'!$H$30&gt;G84,V81,"")</f>
        <v/>
      </c>
      <c r="H94" s="146" t="str">
        <f>IF(31&lt;='Peer Inside An EBITDA Multiple'!$H$30,-SUM(H90:H93)*'Peer Inside An EBITDA Multiple'!$H$12,"")</f>
        <v/>
      </c>
      <c r="I94" s="146" t="str">
        <f>IF(31&lt;='Peer Inside An EBITDA Multiple'!$H$30,-H94,"")</f>
        <v/>
      </c>
      <c r="J94" s="146" t="str">
        <f>IF(31&lt;='Peer Inside An EBITDA Multiple'!$H$30,SUM(G94:I94),"")</f>
        <v/>
      </c>
      <c r="K94" s="146" t="str">
        <f>IF(32&lt;='Peer Inside An EBITDA Multiple'!$H$30,-SUM(K90:K93)*'Peer Inside An EBITDA Multiple'!$H$12,"")</f>
        <v/>
      </c>
      <c r="L94" s="146" t="str">
        <f>IF(32&lt;='Peer Inside An EBITDA Multiple'!$H$30,-K94,"")</f>
        <v/>
      </c>
      <c r="M94" s="146" t="str">
        <f>IF(32&lt;='Peer Inside An EBITDA Multiple'!$H$30,SUM(J94:L94),"")</f>
        <v/>
      </c>
      <c r="N94" s="146" t="str">
        <f>IF(33&lt;='Peer Inside An EBITDA Multiple'!$H$30,-SUM(N90:N93)*'Peer Inside An EBITDA Multiple'!$H$12,"")</f>
        <v/>
      </c>
      <c r="O94" s="146" t="str">
        <f>IF(33&lt;='Peer Inside An EBITDA Multiple'!$H$30,-N94,"")</f>
        <v/>
      </c>
      <c r="P94" s="146" t="str">
        <f>IF(33&lt;='Peer Inside An EBITDA Multiple'!$H$30,SUM(M94:O94),"")</f>
        <v/>
      </c>
      <c r="Q94" s="146" t="str">
        <f>IF(34&lt;='Peer Inside An EBITDA Multiple'!$H$30,-SUM(Q90:Q93)*'Peer Inside An EBITDA Multiple'!$H$12,"")</f>
        <v/>
      </c>
      <c r="R94" s="146" t="str">
        <f>IF(34&lt;='Peer Inside An EBITDA Multiple'!$H$30,-Q94,"")</f>
        <v/>
      </c>
      <c r="S94" s="146" t="str">
        <f>IF(34&lt;='Peer Inside An EBITDA Multiple'!$H$30,SUM(P94:R94),"")</f>
        <v/>
      </c>
      <c r="T94" s="146" t="str">
        <f>IF(35&lt;='Peer Inside An EBITDA Multiple'!$H$30,-SUM(T90:T93)*'Peer Inside An EBITDA Multiple'!$H$12,"")</f>
        <v/>
      </c>
      <c r="U94" s="146" t="str">
        <f>IF(35&lt;='Peer Inside An EBITDA Multiple'!$H$30,-T94,"")</f>
        <v/>
      </c>
      <c r="V94" s="146" t="str">
        <f>IF(35&lt;='Peer Inside An EBITDA Multiple'!$H$30,SUM(S94:U94),"")</f>
        <v/>
      </c>
    </row>
    <row r="95" spans="2:22" ht="12" customHeight="1" thickBot="1">
      <c r="B95" s="155" t="str">
        <f>IF('Peer Inside An EBITDA Multiple'!$H$30&gt;30,B82+11,"")</f>
        <v/>
      </c>
      <c r="D95" s="139" t="str">
        <f>IF('Peer Inside An EBITDA Multiple'!$H$30&gt;30,D82,"")</f>
        <v/>
      </c>
      <c r="E95" s="136"/>
      <c r="F95" s="144" t="str">
        <f>IF('Peer Inside An EBITDA Multiple'!$H$30&gt;30,"SUM(["&amp;TEXT(B85,"0")&amp;"]:["&amp;TEXT(B94,"0")&amp;"])","")</f>
        <v/>
      </c>
      <c r="G95" s="151" t="str">
        <f>IF(V71&lt;'Peer Inside An EBITDA Multiple'!$H$30,ABS(SUM(G85:G94)),"")</f>
        <v/>
      </c>
      <c r="H95" s="151" t="str">
        <f>IF(J84&lt;='Peer Inside An EBITDA Multiple'!$H$30,ABS(SUM(H85:H94)),"")</f>
        <v/>
      </c>
      <c r="I95" s="151" t="str">
        <f>IF(J84&lt;='Peer Inside An EBITDA Multiple'!$H$30,ABS(SUM(I85:I94)),"")</f>
        <v/>
      </c>
      <c r="J95" s="151" t="str">
        <f>IF(J84&lt;='Peer Inside An EBITDA Multiple'!$H$30,ABS(SUM(J85:J94)),"")</f>
        <v/>
      </c>
      <c r="K95" s="151" t="str">
        <f>IF(M84&lt;='Peer Inside An EBITDA Multiple'!$H$30,ABS(SUM(K85:K94)),"")</f>
        <v/>
      </c>
      <c r="L95" s="151" t="str">
        <f>IF(M84&lt;='Peer Inside An EBITDA Multiple'!$H$30,ABS(SUM(L85:L94)),"")</f>
        <v/>
      </c>
      <c r="M95" s="151" t="str">
        <f>IF(M84&lt;='Peer Inside An EBITDA Multiple'!$H$30,ABS(SUM(M85:M94)),"")</f>
        <v/>
      </c>
      <c r="N95" s="151" t="str">
        <f>IF(P84&lt;='Peer Inside An EBITDA Multiple'!$H$30,ABS(SUM(N85:N94)),"")</f>
        <v/>
      </c>
      <c r="O95" s="151" t="str">
        <f>IF(P84&lt;='Peer Inside An EBITDA Multiple'!$H$30,ABS(SUM(O85:O94)),"")</f>
        <v/>
      </c>
      <c r="P95" s="151" t="str">
        <f>IF(P84&lt;='Peer Inside An EBITDA Multiple'!$H$30,ABS(SUM(P85:P94)),"")</f>
        <v/>
      </c>
      <c r="Q95" s="151" t="str">
        <f>IF(S84&lt;='Peer Inside An EBITDA Multiple'!$H$30,ABS(SUM(Q85:Q94)),"")</f>
        <v/>
      </c>
      <c r="R95" s="151" t="str">
        <f>IF(S84&lt;='Peer Inside An EBITDA Multiple'!$H$30,ABS(SUM(R85:R94)),"")</f>
        <v/>
      </c>
      <c r="S95" s="151" t="str">
        <f>IF(S84&lt;='Peer Inside An EBITDA Multiple'!$H$30,ABS(SUM(S85:S94)),"")</f>
        <v/>
      </c>
      <c r="T95" s="151" t="str">
        <f>IF(V84&lt;='Peer Inside An EBITDA Multiple'!$H$30,ABS(SUM(T85:T94)),"")</f>
        <v/>
      </c>
      <c r="U95" s="151" t="str">
        <f>IF(V84&lt;='Peer Inside An EBITDA Multiple'!$H$30,ABS(SUM(U85:U94)),"")</f>
        <v/>
      </c>
      <c r="V95" s="151" t="str">
        <f>IF(V84&lt;='Peer Inside An EBITDA Multiple'!$H$30,ABS(SUM(V85:V94)),"")</f>
        <v/>
      </c>
    </row>
    <row r="96" spans="2:22" ht="9" customHeight="1" thickTop="1"/>
    <row r="97" spans="2:22" ht="12.75" customHeight="1">
      <c r="D97" s="138" t="str">
        <f>IF('Peer Inside An EBITDA Multiple'!$H$30&gt;35,IF('Peer Inside An EBITDA Multiple'!$H$30=36,"Trial Balance 36","Trial Balances 36 - "&amp;IF('Peer Inside An EBITDA Multiple'!$H$30&lt;=39,'Peer Inside An EBITDA Multiple'!$H$30,"40")),"")</f>
        <v/>
      </c>
      <c r="E97" s="138"/>
      <c r="F97" s="143"/>
      <c r="G97" s="149" t="str">
        <f>IF(V84&lt;'Peer Inside An EBITDA Multiple'!$H$30,V84,"")</f>
        <v/>
      </c>
      <c r="H97" s="149" t="str">
        <f>IF(G97&lt;'Peer Inside An EBITDA Multiple'!$H$30,"Activity","")</f>
        <v/>
      </c>
      <c r="I97" s="149" t="str">
        <f>IF(G97&lt;'Peer Inside An EBITDA Multiple'!$H$30,"Close","")</f>
        <v/>
      </c>
      <c r="J97" s="150" t="str">
        <f>IF(G97&lt;'Peer Inside An EBITDA Multiple'!$H$30,G97+1,"")</f>
        <v/>
      </c>
      <c r="K97" s="149" t="str">
        <f>IF(J97&lt;'Peer Inside An EBITDA Multiple'!$H$30,"Activity","")</f>
        <v/>
      </c>
      <c r="L97" s="149" t="str">
        <f>IF(J97&lt;'Peer Inside An EBITDA Multiple'!$H$30,"Close","")</f>
        <v/>
      </c>
      <c r="M97" s="150" t="str">
        <f>IF(J97&lt;'Peer Inside An EBITDA Multiple'!$H$30,J97+1,"")</f>
        <v/>
      </c>
      <c r="N97" s="149" t="str">
        <f>IF(M97&lt;'Peer Inside An EBITDA Multiple'!$H$30,"Activity","")</f>
        <v/>
      </c>
      <c r="O97" s="149" t="str">
        <f>IF(M97&lt;'Peer Inside An EBITDA Multiple'!$H$30,"Close","")</f>
        <v/>
      </c>
      <c r="P97" s="150" t="str">
        <f>IF(M97&lt;'Peer Inside An EBITDA Multiple'!$H$30,M97+1,"")</f>
        <v/>
      </c>
      <c r="Q97" s="149" t="str">
        <f>IF(P97&lt;'Peer Inside An EBITDA Multiple'!$H$30,"Activity","")</f>
        <v/>
      </c>
      <c r="R97" s="149" t="str">
        <f>IF(P97&lt;'Peer Inside An EBITDA Multiple'!$H$30,"Close","")</f>
        <v/>
      </c>
      <c r="S97" s="150" t="str">
        <f>IF(P97&lt;'Peer Inside An EBITDA Multiple'!$H$30,P97+1,"")</f>
        <v/>
      </c>
      <c r="T97" s="149" t="str">
        <f>IF(S97&lt;'Peer Inside An EBITDA Multiple'!$H$30,"Activity","")</f>
        <v/>
      </c>
      <c r="U97" s="149" t="str">
        <f>IF(S97&lt;'Peer Inside An EBITDA Multiple'!$H$30,"Close","")</f>
        <v/>
      </c>
      <c r="V97" s="150" t="str">
        <f>IF(S97&lt;'Peer Inside An EBITDA Multiple'!$H$30,S97+1,"")</f>
        <v/>
      </c>
    </row>
    <row r="98" spans="2:22" ht="12" customHeight="1">
      <c r="B98" s="155" t="str">
        <f>IF('Peer Inside An EBITDA Multiple'!$H$30&gt;35,B85+11,"")</f>
        <v/>
      </c>
      <c r="D98" s="139" t="str">
        <f>IF('Peer Inside An EBITDA Multiple'!$H$30&gt;35,D85,"")</f>
        <v/>
      </c>
      <c r="E98" s="136"/>
      <c r="F98" s="145" t="str">
        <f>IF('Peer Inside An EBITDA Multiple'!$H$30&gt;35,"["&amp;'Peer Inside An EBITDA Multiple'!$C$39&amp;"]","")</f>
        <v/>
      </c>
      <c r="G98" s="146" t="str">
        <f>IF('Peer Inside An EBITDA Multiple'!$H$30&gt;G97,V85,"")</f>
        <v/>
      </c>
      <c r="I98" s="146" t="str">
        <f>IF(36&lt;'Peer Inside An EBITDA Multiple'!$H$30,"",IF(36='Peer Inside An EBITDA Multiple'!$H$30,-V85,""))</f>
        <v/>
      </c>
      <c r="J98" s="146" t="str">
        <f>IF(36&lt;='Peer Inside An EBITDA Multiple'!$H$30,SUM(G98:I98),"")</f>
        <v/>
      </c>
      <c r="L98" s="146" t="str">
        <f>IF(37&lt;'Peer Inside An EBITDA Multiple'!$H$30,"",IF(37='Peer Inside An EBITDA Multiple'!$H$30,-J98,""))</f>
        <v/>
      </c>
      <c r="M98" s="146" t="str">
        <f>IF(37&lt;='Peer Inside An EBITDA Multiple'!$H$30,SUM(J98:L98),"")</f>
        <v/>
      </c>
      <c r="O98" s="146" t="str">
        <f>IF(38&lt;'Peer Inside An EBITDA Multiple'!$H$30,"",IF(38='Peer Inside An EBITDA Multiple'!$H$30,-M98,""))</f>
        <v/>
      </c>
      <c r="P98" s="146" t="str">
        <f>IF(38&lt;='Peer Inside An EBITDA Multiple'!$H$30,SUM(M98:O98),"")</f>
        <v/>
      </c>
      <c r="R98" s="146" t="str">
        <f>IF(39&lt;'Peer Inside An EBITDA Multiple'!$H$30,"",IF(39='Peer Inside An EBITDA Multiple'!$H$30,-P98,""))</f>
        <v/>
      </c>
      <c r="S98" s="146" t="str">
        <f>IF(39&lt;='Peer Inside An EBITDA Multiple'!$H$30,SUM(P98:R98),"")</f>
        <v/>
      </c>
      <c r="U98" s="146" t="str">
        <f>IF(40&lt;'Peer Inside An EBITDA Multiple'!$H$30,"",IF(40='Peer Inside An EBITDA Multiple'!$H$30,-S98,""))</f>
        <v/>
      </c>
      <c r="V98" s="146" t="str">
        <f>IF(40&lt;='Peer Inside An EBITDA Multiple'!$H$30,SUM(S98:U98),"")</f>
        <v/>
      </c>
    </row>
    <row r="99" spans="2:22" ht="12" customHeight="1">
      <c r="B99" s="155" t="str">
        <f>IF('Peer Inside An EBITDA Multiple'!$H$30&gt;35,B86+11,"")</f>
        <v/>
      </c>
      <c r="D99" s="139" t="str">
        <f>IF('Peer Inside An EBITDA Multiple'!$H$30&gt;35,D86,"")</f>
        <v/>
      </c>
      <c r="E99" s="136"/>
      <c r="F99" s="144" t="str">
        <f>IF('Peer Inside An EBITDA Multiple'!$H$30&gt;35,"["&amp;TEXT(B99,"0")&amp;"]-["&amp;TEXT(B104,"0")&amp;"]","")</f>
        <v/>
      </c>
      <c r="G99" s="146" t="str">
        <f>IF('Peer Inside An EBITDA Multiple'!$H$30&gt;G97,V86,"")</f>
        <v/>
      </c>
      <c r="H99" s="146" t="str">
        <f>IF(36&lt;='Peer Inside An EBITDA Multiple'!$H$30,-H104,"")</f>
        <v/>
      </c>
      <c r="I99" s="146" t="str">
        <f>IF(36='Peer Inside An EBITDA Multiple'!$H$30,-I98,"")</f>
        <v/>
      </c>
      <c r="J99" s="146" t="str">
        <f>IF(36='Peer Inside An EBITDA Multiple'!$H$30,SUM(G99:I99),IF(36&lt;='Peer Inside An EBITDA Multiple'!$H$30,G99-H104,""))</f>
        <v/>
      </c>
      <c r="K99" s="146" t="str">
        <f>IF(37&lt;='Peer Inside An EBITDA Multiple'!$H$30,-K104,"")</f>
        <v/>
      </c>
      <c r="L99" s="146" t="str">
        <f>IF(37='Peer Inside An EBITDA Multiple'!$H$30,-L98,"")</f>
        <v/>
      </c>
      <c r="M99" s="146" t="str">
        <f>IF(37='Peer Inside An EBITDA Multiple'!$H$30,SUM(J99:L99),IF(37&lt;='Peer Inside An EBITDA Multiple'!$H$30,J99-K104,""))</f>
        <v/>
      </c>
      <c r="N99" s="146" t="str">
        <f>IF(38&lt;='Peer Inside An EBITDA Multiple'!$H$30,-N104,"")</f>
        <v/>
      </c>
      <c r="O99" s="146" t="str">
        <f>IF(38='Peer Inside An EBITDA Multiple'!$H$30,-O98,"")</f>
        <v/>
      </c>
      <c r="P99" s="146" t="str">
        <f>IF(38='Peer Inside An EBITDA Multiple'!$H$30,SUM(M99:O99),IF(38&lt;='Peer Inside An EBITDA Multiple'!$H$30,M99-N104,""))</f>
        <v/>
      </c>
      <c r="Q99" s="146" t="str">
        <f>IF(39&lt;='Peer Inside An EBITDA Multiple'!$H$30,-Q104,"")</f>
        <v/>
      </c>
      <c r="R99" s="146" t="str">
        <f>IF(39='Peer Inside An EBITDA Multiple'!$H$30,-R98,"")</f>
        <v/>
      </c>
      <c r="S99" s="146" t="str">
        <f>IF(39='Peer Inside An EBITDA Multiple'!$H$30,SUM(P99:R99),IF(39&lt;='Peer Inside An EBITDA Multiple'!$H$30,P99-Q104,""))</f>
        <v/>
      </c>
      <c r="T99" s="146" t="str">
        <f>IF(40&lt;='Peer Inside An EBITDA Multiple'!$H$30,-T104,"")</f>
        <v/>
      </c>
      <c r="U99" s="146" t="str">
        <f>IF(40='Peer Inside An EBITDA Multiple'!$H$30,-U98,"")</f>
        <v/>
      </c>
      <c r="V99" s="146" t="str">
        <f>IF(40='Peer Inside An EBITDA Multiple'!$H$30,SUM(S99:U99),IF(40&lt;='Peer Inside An EBITDA Multiple'!$H$30,S99-T104,""))</f>
        <v/>
      </c>
    </row>
    <row r="100" spans="2:22" ht="12" customHeight="1">
      <c r="B100" s="155" t="str">
        <f>IF('Peer Inside An EBITDA Multiple'!$H$30&gt;35,B87+11,"")</f>
        <v/>
      </c>
      <c r="D100" s="139" t="str">
        <f>IF('Peer Inside An EBITDA Multiple'!$H$30&gt;35,D87,"")</f>
        <v/>
      </c>
      <c r="E100" s="136"/>
      <c r="F100" s="144" t="str">
        <f>IF('Peer Inside An EBITDA Multiple'!$H$30&gt;35,"-SUM(["&amp;TEXT(B98,"0")&amp;"]:["&amp;TEXT(B99,"0")&amp;"],["&amp;TEXT(B101,"0")&amp;"]:["&amp;TEXT(B107,"0")&amp;"])","")</f>
        <v/>
      </c>
      <c r="G100" s="146" t="str">
        <f>IF('Peer Inside An EBITDA Multiple'!$H$30&gt;G97,V87,"")</f>
        <v/>
      </c>
      <c r="H100" s="146" t="str">
        <f>IF(36&lt;='Peer Inside An EBITDA Multiple'!$H$30,-SUM(H98:H99,H101:H107),"")</f>
        <v/>
      </c>
      <c r="J100" s="146" t="str">
        <f>IF(36='Peer Inside An EBITDA Multiple'!$H$30,ABS(SUM(G100:I100)),IF(36&lt;'Peer Inside An EBITDA Multiple'!$H$30,SUM(G100:I100),""))</f>
        <v/>
      </c>
      <c r="K100" s="146" t="str">
        <f>IF(37&lt;='Peer Inside An EBITDA Multiple'!$H$30,-SUM(K98:K99,K101:K107),"")</f>
        <v/>
      </c>
      <c r="M100" s="146" t="str">
        <f>IF(37='Peer Inside An EBITDA Multiple'!$H$30,ABS(SUM(J100:L100)),IF(37&lt;'Peer Inside An EBITDA Multiple'!$H$30,SUM(J100:L100),""))</f>
        <v/>
      </c>
      <c r="N100" s="146" t="str">
        <f>IF(38&lt;='Peer Inside An EBITDA Multiple'!$H$30,-SUM(N98:N99,N101:N107),"")</f>
        <v/>
      </c>
      <c r="P100" s="146" t="str">
        <f>IF(38='Peer Inside An EBITDA Multiple'!$H$30,ABS(SUM(M100:O100)),IF(38&lt;'Peer Inside An EBITDA Multiple'!$H$30,SUM(M100:O100),""))</f>
        <v/>
      </c>
      <c r="Q100" s="146" t="str">
        <f>IF(39&lt;='Peer Inside An EBITDA Multiple'!$H$30,-SUM(Q98:Q99,Q101:Q107),"")</f>
        <v/>
      </c>
      <c r="S100" s="146" t="str">
        <f>IF(39='Peer Inside An EBITDA Multiple'!$H$30,ABS(SUM(P100:R100)),IF(39&lt;'Peer Inside An EBITDA Multiple'!$H$30,SUM(P100:R100),""))</f>
        <v/>
      </c>
      <c r="T100" s="146" t="str">
        <f>IF(40&lt;='Peer Inside An EBITDA Multiple'!$H$30,-SUM(T98:T99,T101:T107),"")</f>
        <v/>
      </c>
      <c r="V100" s="146" t="str">
        <f>IF(40='Peer Inside An EBITDA Multiple'!$H$30,ABS(SUM(S100:U100)),IF(40&lt;'Peer Inside An EBITDA Multiple'!$H$30,SUM(S100:U100),""))</f>
        <v/>
      </c>
    </row>
    <row r="101" spans="2:22" ht="12" customHeight="1">
      <c r="B101" s="155" t="str">
        <f>IF('Peer Inside An EBITDA Multiple'!$H$30&gt;35,B88+11,"")</f>
        <v/>
      </c>
      <c r="D101" s="139" t="str">
        <f>IF('Peer Inside An EBITDA Multiple'!$H$30&gt;35,D88,"")</f>
        <v/>
      </c>
      <c r="E101" s="136"/>
      <c r="F101" s="144" t="str">
        <f>IF('Peer Inside An EBITDA Multiple'!$H$30&gt;35,"-["&amp;'Peer Inside An EBITDA Multiple'!$C$44&amp;"]*["&amp;'Peer Inside An EBITDA Multiple'!$C$10&amp;"]","")</f>
        <v/>
      </c>
      <c r="G101" s="146" t="str">
        <f>IF('Peer Inside An EBITDA Multiple'!$H$30&gt;G97,V88,"")</f>
        <v/>
      </c>
      <c r="H101" s="146" t="str">
        <f>IF(36&lt;='Peer Inside An EBITDA Multiple'!$H$30,-'Peer Inside An EBITDA Multiple'!AR59,"")</f>
        <v/>
      </c>
      <c r="J101" s="146" t="str">
        <f>IF(36='Peer Inside An EBITDA Multiple'!$H$30,ABS(SUM(G101:I101)),IF(36&lt;'Peer Inside An EBITDA Multiple'!$H$30,SUM(G101:I101),""))</f>
        <v/>
      </c>
      <c r="K101" s="146" t="str">
        <f>IF(37&lt;='Peer Inside An EBITDA Multiple'!$H$30,-'Peer Inside An EBITDA Multiple'!AS59,"")</f>
        <v/>
      </c>
      <c r="M101" s="146" t="str">
        <f>IF(37='Peer Inside An EBITDA Multiple'!$H$30,ABS(SUM(J101:L101)),IF(37&lt;'Peer Inside An EBITDA Multiple'!$H$30,SUM(J101:L101),""))</f>
        <v/>
      </c>
      <c r="N101" s="146" t="str">
        <f>IF(38&lt;='Peer Inside An EBITDA Multiple'!$H$30,-'Peer Inside An EBITDA Multiple'!AT59,"")</f>
        <v/>
      </c>
      <c r="P101" s="146" t="str">
        <f>IF(38='Peer Inside An EBITDA Multiple'!$H$30,ABS(SUM(M101:O101)),IF(38&lt;'Peer Inside An EBITDA Multiple'!$H$30,SUM(M101:O101),""))</f>
        <v/>
      </c>
      <c r="Q101" s="146" t="str">
        <f>IF(39&lt;='Peer Inside An EBITDA Multiple'!$H$30,-'Peer Inside An EBITDA Multiple'!AU59,"")</f>
        <v/>
      </c>
      <c r="S101" s="146" t="str">
        <f>IF(39='Peer Inside An EBITDA Multiple'!$H$30,ABS(SUM(P101:R101)),IF(39&lt;'Peer Inside An EBITDA Multiple'!$H$30,SUM(P101:R101),""))</f>
        <v/>
      </c>
      <c r="T101" s="146" t="str">
        <f>IF(40&lt;='Peer Inside An EBITDA Multiple'!$H$30,-'Peer Inside An EBITDA Multiple'!AV59,"")</f>
        <v/>
      </c>
      <c r="V101" s="146" t="str">
        <f>IF(40='Peer Inside An EBITDA Multiple'!$H$30,ABS(SUM(S101:U101)),IF(40&lt;'Peer Inside An EBITDA Multiple'!$H$30,SUM(S101:U101),""))</f>
        <v/>
      </c>
    </row>
    <row r="102" spans="2:22" ht="12" customHeight="1">
      <c r="B102" s="155" t="str">
        <f>IF('Peer Inside An EBITDA Multiple'!$H$30&gt;35,B89+11,"")</f>
        <v/>
      </c>
      <c r="D102" s="139" t="str">
        <f>IF('Peer Inside An EBITDA Multiple'!$H$30&gt;35,D89,"")</f>
        <v/>
      </c>
      <c r="E102" s="136"/>
      <c r="F102" s="144" t="str">
        <f>IF('Peer Inside An EBITDA Multiple'!$H$30&gt;35,"-["&amp;'Peer Inside An EBITDA Multiple'!$C$44&amp;"]*(1-["&amp;'Peer Inside An EBITDA Multiple'!$C$10&amp;"])","")</f>
        <v/>
      </c>
      <c r="G102" s="146" t="str">
        <f>IF('Peer Inside An EBITDA Multiple'!$H$30&gt;G97,V89,"")</f>
        <v/>
      </c>
      <c r="H102" s="146" t="str">
        <f>IF(36&lt;='Peer Inside An EBITDA Multiple'!$H$30,J102-V89-I102,"")</f>
        <v/>
      </c>
      <c r="I102" s="146" t="str">
        <f>IF(36&lt;='Peer Inside An EBITDA Multiple'!$H$30,-SUM(I103:I107),"")</f>
        <v/>
      </c>
      <c r="J102" s="146" t="str">
        <f>IF(36='Peer Inside An EBITDA Multiple'!$H$30,0,IF(36&lt;'Peer Inside An EBITDA Multiple'!$H$30,-'Peer Inside An EBITDA Multiple'!AR66,""))</f>
        <v/>
      </c>
      <c r="K102" s="146" t="str">
        <f>IF(37&lt;='Peer Inside An EBITDA Multiple'!$H$30,M102-J102-L102,"")</f>
        <v/>
      </c>
      <c r="L102" s="146" t="str">
        <f>IF(37&lt;='Peer Inside An EBITDA Multiple'!$H$30,-SUM(L103:L107),"")</f>
        <v/>
      </c>
      <c r="M102" s="146" t="str">
        <f>IF(37='Peer Inside An EBITDA Multiple'!$H$30,0,IF(37&lt;'Peer Inside An EBITDA Multiple'!$H$30,-'Peer Inside An EBITDA Multiple'!AS66,""))</f>
        <v/>
      </c>
      <c r="N102" s="146" t="str">
        <f>IF(38&lt;='Peer Inside An EBITDA Multiple'!$H$30,P102-M102-O102,"")</f>
        <v/>
      </c>
      <c r="O102" s="146" t="str">
        <f>IF(38&lt;='Peer Inside An EBITDA Multiple'!$H$30,-SUM(O103:O107),"")</f>
        <v/>
      </c>
      <c r="P102" s="146" t="str">
        <f>IF(38='Peer Inside An EBITDA Multiple'!$H$30,0,IF(38&lt;'Peer Inside An EBITDA Multiple'!$H$30,-'Peer Inside An EBITDA Multiple'!AT66,""))</f>
        <v/>
      </c>
      <c r="Q102" s="146" t="str">
        <f>IF(39&lt;='Peer Inside An EBITDA Multiple'!$H$30,S102-P102-R102,"")</f>
        <v/>
      </c>
      <c r="R102" s="146" t="str">
        <f>IF(39&lt;='Peer Inside An EBITDA Multiple'!$H$30,-SUM(R103:R107),"")</f>
        <v/>
      </c>
      <c r="S102" s="146" t="str">
        <f>IF(39='Peer Inside An EBITDA Multiple'!$H$30,0,IF(39&lt;'Peer Inside An EBITDA Multiple'!$H$30,-'Peer Inside An EBITDA Multiple'!AU66,""))</f>
        <v/>
      </c>
      <c r="T102" s="146" t="str">
        <f>IF(40&lt;='Peer Inside An EBITDA Multiple'!$H$30,V102-S102-U102,"")</f>
        <v/>
      </c>
      <c r="U102" s="146" t="str">
        <f>IF(40&lt;='Peer Inside An EBITDA Multiple'!$H$30,-SUM(U103:U107),"")</f>
        <v/>
      </c>
      <c r="V102" s="146" t="str">
        <f>IF(40='Peer Inside An EBITDA Multiple'!$H$30,0,IF(40&lt;'Peer Inside An EBITDA Multiple'!$H$30,-'Peer Inside An EBITDA Multiple'!AV66,""))</f>
        <v/>
      </c>
    </row>
    <row r="103" spans="2:22" ht="12" customHeight="1">
      <c r="B103" s="155" t="str">
        <f>IF('Peer Inside An EBITDA Multiple'!$H$30&gt;35,B90+11,"")</f>
        <v/>
      </c>
      <c r="D103" s="139" t="str">
        <f>IF('Peer Inside An EBITDA Multiple'!$H$30&gt;35,D90,"")</f>
        <v/>
      </c>
      <c r="E103" s="136"/>
      <c r="F103" s="144" t="str">
        <f>IF('Peer Inside An EBITDA Multiple'!$H$30&gt;35,"["&amp;TEXT('Peer Inside An EBITDA Multiple'!$C$46,"0")&amp;"]","")</f>
        <v/>
      </c>
      <c r="G103" s="146" t="str">
        <f>IF('Peer Inside An EBITDA Multiple'!$H$30&gt;G97,V90,"")</f>
        <v/>
      </c>
      <c r="H103" s="146" t="str">
        <f>IF(36&lt;='Peer Inside An EBITDA Multiple'!$H$30,-'Peer Inside An EBITDA Multiple'!AR49,"")</f>
        <v/>
      </c>
      <c r="I103" s="146" t="str">
        <f>IF(36&lt;='Peer Inside An EBITDA Multiple'!$H$30,-H103,"")</f>
        <v/>
      </c>
      <c r="J103" s="146" t="str">
        <f>IF(36&lt;='Peer Inside An EBITDA Multiple'!$H$30,SUM(G103:I103),"")</f>
        <v/>
      </c>
      <c r="K103" s="146" t="str">
        <f>IF(37&lt;='Peer Inside An EBITDA Multiple'!$H$30,-'Peer Inside An EBITDA Multiple'!AS49,"")</f>
        <v/>
      </c>
      <c r="L103" s="146" t="str">
        <f>IF(37&lt;='Peer Inside An EBITDA Multiple'!$H$30,-K103,"")</f>
        <v/>
      </c>
      <c r="M103" s="146" t="str">
        <f>IF(37&lt;='Peer Inside An EBITDA Multiple'!$H$30,SUM(J103:L103),"")</f>
        <v/>
      </c>
      <c r="N103" s="146" t="str">
        <f>IF(38&lt;='Peer Inside An EBITDA Multiple'!$H$30,-'Peer Inside An EBITDA Multiple'!AT49,"")</f>
        <v/>
      </c>
      <c r="O103" s="146" t="str">
        <f>IF(38&lt;='Peer Inside An EBITDA Multiple'!$H$30,-N103,"")</f>
        <v/>
      </c>
      <c r="P103" s="146" t="str">
        <f>IF(38&lt;='Peer Inside An EBITDA Multiple'!$H$30,SUM(M103:O103),"")</f>
        <v/>
      </c>
      <c r="Q103" s="146" t="str">
        <f>IF(39&lt;='Peer Inside An EBITDA Multiple'!$H$30,-'Peer Inside An EBITDA Multiple'!AU49,"")</f>
        <v/>
      </c>
      <c r="R103" s="146" t="str">
        <f>IF(39&lt;='Peer Inside An EBITDA Multiple'!$H$30,-Q103,"")</f>
        <v/>
      </c>
      <c r="S103" s="146" t="str">
        <f>IF(39&lt;='Peer Inside An EBITDA Multiple'!$H$30,SUM(P103:R103),"")</f>
        <v/>
      </c>
      <c r="T103" s="146" t="str">
        <f>IF(40&lt;='Peer Inside An EBITDA Multiple'!$H$30,-'Peer Inside An EBITDA Multiple'!AV49,"")</f>
        <v/>
      </c>
      <c r="U103" s="146" t="str">
        <f>IF(40&lt;='Peer Inside An EBITDA Multiple'!$H$30,-T103,"")</f>
        <v/>
      </c>
      <c r="V103" s="146" t="str">
        <f>IF(40&lt;='Peer Inside An EBITDA Multiple'!$H$30,SUM(S103:U103),"")</f>
        <v/>
      </c>
    </row>
    <row r="104" spans="2:22" ht="12" customHeight="1">
      <c r="B104" s="155" t="str">
        <f>IF('Peer Inside An EBITDA Multiple'!$H$30&gt;35,B91+11,"")</f>
        <v/>
      </c>
      <c r="D104" s="139" t="str">
        <f>IF('Peer Inside An EBITDA Multiple'!$H$30&gt;35,D91,"")</f>
        <v/>
      </c>
      <c r="E104" s="136"/>
      <c r="F104" s="144" t="str">
        <f>IF('Peer Inside An EBITDA Multiple'!$H$30&gt;35,"["&amp;TEXT('Peer Inside An EBITDA Multiple'!$C$39,"0")&amp;"]/["&amp;'Peer Inside An EBITDA Multiple'!C$30&amp;"]","")</f>
        <v/>
      </c>
      <c r="G104" s="146" t="str">
        <f>IF('Peer Inside An EBITDA Multiple'!$H$30&gt;G97,V91,"")</f>
        <v/>
      </c>
      <c r="H104" s="146" t="str">
        <f>IF(36&lt;='Peer Inside An EBITDA Multiple'!$H$30,T91,"")</f>
        <v/>
      </c>
      <c r="I104" s="146" t="str">
        <f>IF(36&lt;='Peer Inside An EBITDA Multiple'!$H$30,-H104,"")</f>
        <v/>
      </c>
      <c r="J104" s="146" t="str">
        <f>IF(36&lt;='Peer Inside An EBITDA Multiple'!$H$30,SUM(G104:I104),"")</f>
        <v/>
      </c>
      <c r="K104" s="146" t="str">
        <f>IF(37&lt;='Peer Inside An EBITDA Multiple'!$H$30,H104,"")</f>
        <v/>
      </c>
      <c r="L104" s="146" t="str">
        <f>IF(37&lt;='Peer Inside An EBITDA Multiple'!$H$30,-K104,"")</f>
        <v/>
      </c>
      <c r="M104" s="146" t="str">
        <f>IF(37&lt;='Peer Inside An EBITDA Multiple'!$H$30,SUM(J104:L104),"")</f>
        <v/>
      </c>
      <c r="N104" s="146" t="str">
        <f>IF(38&lt;='Peer Inside An EBITDA Multiple'!$H$30,K104,"")</f>
        <v/>
      </c>
      <c r="O104" s="146" t="str">
        <f>IF(38&lt;='Peer Inside An EBITDA Multiple'!$H$30,-N104,"")</f>
        <v/>
      </c>
      <c r="P104" s="146" t="str">
        <f>IF(38&lt;='Peer Inside An EBITDA Multiple'!$H$30,SUM(M104:O104),"")</f>
        <v/>
      </c>
      <c r="Q104" s="146" t="str">
        <f>IF(39&lt;='Peer Inside An EBITDA Multiple'!$H$30,N104,"")</f>
        <v/>
      </c>
      <c r="R104" s="146" t="str">
        <f>IF(39&lt;='Peer Inside An EBITDA Multiple'!$H$30,-Q104,"")</f>
        <v/>
      </c>
      <c r="S104" s="146" t="str">
        <f>IF(39&lt;='Peer Inside An EBITDA Multiple'!$H$30,SUM(P104:R104),"")</f>
        <v/>
      </c>
      <c r="T104" s="146" t="str">
        <f>IF(40&lt;='Peer Inside An EBITDA Multiple'!$H$30,Q104,"")</f>
        <v/>
      </c>
      <c r="U104" s="146" t="str">
        <f>IF(40&lt;='Peer Inside An EBITDA Multiple'!$H$30,-T104,"")</f>
        <v/>
      </c>
      <c r="V104" s="146" t="str">
        <f>IF(40&lt;='Peer Inside An EBITDA Multiple'!$H$30,SUM(S104:U104),"")</f>
        <v/>
      </c>
    </row>
    <row r="105" spans="2:22" ht="12" customHeight="1">
      <c r="B105" s="155" t="str">
        <f>IF('Peer Inside An EBITDA Multiple'!$H$30&gt;35,B92+11,"")</f>
        <v/>
      </c>
      <c r="D105" s="139" t="str">
        <f>IF('Peer Inside An EBITDA Multiple'!$H$30&gt;35,D92,"")</f>
        <v/>
      </c>
      <c r="E105" s="136"/>
      <c r="F105" s="144" t="str">
        <f>IF('Peer Inside An EBITDA Multiple'!$H$30&gt;35,"-["&amp;TEXT(B101,"0")&amp;"]*["&amp;TEXT('Peer Inside An EBITDA Multiple'!$C$11,"0")&amp;"]","")</f>
        <v/>
      </c>
      <c r="G105" s="146" t="str">
        <f>IF('Peer Inside An EBITDA Multiple'!$H$30&gt;G97,V92,"")</f>
        <v/>
      </c>
      <c r="H105" s="146" t="str">
        <f>IF(36&lt;='Peer Inside An EBITDA Multiple'!$H$30,-V88*'Peer Inside An EBITDA Multiple'!$H$11,"")</f>
        <v/>
      </c>
      <c r="I105" s="146" t="str">
        <f>IF(36&lt;='Peer Inside An EBITDA Multiple'!$H$30,-H105,"")</f>
        <v/>
      </c>
      <c r="J105" s="146" t="str">
        <f>IF(36&lt;='Peer Inside An EBITDA Multiple'!$H$30,SUM(G105:I105),"")</f>
        <v/>
      </c>
      <c r="K105" s="146" t="str">
        <f>IF(37&lt;='Peer Inside An EBITDA Multiple'!$H$30,-J101*'Peer Inside An EBITDA Multiple'!$H$11,"")</f>
        <v/>
      </c>
      <c r="L105" s="146" t="str">
        <f>IF(37&lt;='Peer Inside An EBITDA Multiple'!$H$30,-K105,"")</f>
        <v/>
      </c>
      <c r="M105" s="146" t="str">
        <f>IF(37&lt;='Peer Inside An EBITDA Multiple'!$H$30,SUM(J105:L105),"")</f>
        <v/>
      </c>
      <c r="N105" s="146" t="str">
        <f>IF(38&lt;='Peer Inside An EBITDA Multiple'!$H$30,-M101*'Peer Inside An EBITDA Multiple'!$H$11,"")</f>
        <v/>
      </c>
      <c r="O105" s="146" t="str">
        <f>IF(38&lt;='Peer Inside An EBITDA Multiple'!$H$30,-N105,"")</f>
        <v/>
      </c>
      <c r="P105" s="146" t="str">
        <f>IF(38&lt;='Peer Inside An EBITDA Multiple'!$H$30,SUM(M105:O105),"")</f>
        <v/>
      </c>
      <c r="Q105" s="146" t="str">
        <f>IF(39&lt;='Peer Inside An EBITDA Multiple'!$H$30,-P101*'Peer Inside An EBITDA Multiple'!$H$11,"")</f>
        <v/>
      </c>
      <c r="R105" s="146" t="str">
        <f>IF(39&lt;='Peer Inside An EBITDA Multiple'!$H$30,-Q105,"")</f>
        <v/>
      </c>
      <c r="S105" s="146" t="str">
        <f>IF(39&lt;='Peer Inside An EBITDA Multiple'!$H$30,SUM(P105:R105),"")</f>
        <v/>
      </c>
      <c r="T105" s="146" t="str">
        <f>IF(40&lt;='Peer Inside An EBITDA Multiple'!$H$30,-S101*'Peer Inside An EBITDA Multiple'!$H$11,"")</f>
        <v/>
      </c>
      <c r="U105" s="146" t="str">
        <f>IF(40&lt;='Peer Inside An EBITDA Multiple'!$H$30,-T105,"")</f>
        <v/>
      </c>
      <c r="V105" s="146" t="str">
        <f>IF(40&lt;='Peer Inside An EBITDA Multiple'!$H$30,SUM(S105:U105),"")</f>
        <v/>
      </c>
    </row>
    <row r="106" spans="2:22" ht="12" customHeight="1">
      <c r="B106" s="155" t="str">
        <f>IF('Peer Inside An EBITDA Multiple'!$H$30&gt;35,B93+11,"")</f>
        <v/>
      </c>
      <c r="D106" s="139" t="str">
        <f>IF('Peer Inside An EBITDA Multiple'!$H$30&gt;35,D93,"")</f>
        <v/>
      </c>
      <c r="E106" s="136"/>
      <c r="F106" s="144" t="str">
        <f>IF('Peer Inside An EBITDA Multiple'!$H$30&gt;35,"-["&amp;TEXT(B100,"0")&amp;"]*["&amp;'Peer Inside An EBITDA Multiple'!$C$9&amp;"]","")</f>
        <v/>
      </c>
      <c r="G106" s="146" t="str">
        <f>IF('Peer Inside An EBITDA Multiple'!$H$30&gt;G97,V93,"")</f>
        <v/>
      </c>
      <c r="H106" s="146" t="str">
        <f>IF(36&lt;='Peer Inside An EBITDA Multiple'!$H$30,-V87*'Peer Inside An EBITDA Multiple'!$H9,"")</f>
        <v/>
      </c>
      <c r="I106" s="146" t="str">
        <f>IF(36&lt;='Peer Inside An EBITDA Multiple'!$H$30,-H106,"")</f>
        <v/>
      </c>
      <c r="J106" s="146" t="str">
        <f>IF(36&lt;='Peer Inside An EBITDA Multiple'!$H$30,SUM(G106:I106),"")</f>
        <v/>
      </c>
      <c r="K106" s="146" t="str">
        <f>IF(37&lt;='Peer Inside An EBITDA Multiple'!$H$30,-J100*'Peer Inside An EBITDA Multiple'!$H9,"")</f>
        <v/>
      </c>
      <c r="L106" s="146" t="str">
        <f>IF(37&lt;='Peer Inside An EBITDA Multiple'!$H$30,-K106,"")</f>
        <v/>
      </c>
      <c r="M106" s="146" t="str">
        <f>IF(37&lt;='Peer Inside An EBITDA Multiple'!$H$30,SUM(J106:L106),"")</f>
        <v/>
      </c>
      <c r="N106" s="146" t="str">
        <f>IF(38&lt;='Peer Inside An EBITDA Multiple'!$H$30,-M100*'Peer Inside An EBITDA Multiple'!$H9,"")</f>
        <v/>
      </c>
      <c r="O106" s="146" t="str">
        <f>IF(38&lt;='Peer Inside An EBITDA Multiple'!$H$30,-N106,"")</f>
        <v/>
      </c>
      <c r="P106" s="146" t="str">
        <f>IF(38&lt;='Peer Inside An EBITDA Multiple'!$H$30,SUM(M106:O106),"")</f>
        <v/>
      </c>
      <c r="Q106" s="146" t="str">
        <f>IF(39&lt;='Peer Inside An EBITDA Multiple'!$H$30,-P100*'Peer Inside An EBITDA Multiple'!$H9,"")</f>
        <v/>
      </c>
      <c r="R106" s="146" t="str">
        <f>IF(39&lt;='Peer Inside An EBITDA Multiple'!$H$30,-Q106,"")</f>
        <v/>
      </c>
      <c r="S106" s="146" t="str">
        <f>IF(39&lt;='Peer Inside An EBITDA Multiple'!$H$30,SUM(P106:R106),"")</f>
        <v/>
      </c>
      <c r="T106" s="146" t="str">
        <f>IF(40&lt;='Peer Inside An EBITDA Multiple'!$H$30,-S100*'Peer Inside An EBITDA Multiple'!$H9,"")</f>
        <v/>
      </c>
      <c r="U106" s="146" t="str">
        <f>IF(40&lt;='Peer Inside An EBITDA Multiple'!$H$30,-T106,"")</f>
        <v/>
      </c>
      <c r="V106" s="146" t="str">
        <f>IF(40&lt;='Peer Inside An EBITDA Multiple'!$H$30,SUM(S106:U106),"")</f>
        <v/>
      </c>
    </row>
    <row r="107" spans="2:22" ht="12" customHeight="1">
      <c r="B107" s="155" t="str">
        <f>IF('Peer Inside An EBITDA Multiple'!$H$30&gt;35,B94+11,"")</f>
        <v/>
      </c>
      <c r="D107" s="139" t="str">
        <f>IF('Peer Inside An EBITDA Multiple'!$H$30&gt;35,D94,"")</f>
        <v/>
      </c>
      <c r="E107" s="136"/>
      <c r="F107" s="144" t="str">
        <f>IF('Peer Inside An EBITDA Multiple'!$H$30&gt;35,"-SUM(["&amp;TEXT(B103,"0")&amp;"]:["&amp;TEXT(B106,"0")&amp;"])*["&amp;'Peer Inside An EBITDA Multiple'!$C$12&amp;"]","")</f>
        <v/>
      </c>
      <c r="G107" s="146" t="str">
        <f>IF('Peer Inside An EBITDA Multiple'!$H$30&gt;G97,V94,"")</f>
        <v/>
      </c>
      <c r="H107" s="146" t="str">
        <f>IF(36&lt;='Peer Inside An EBITDA Multiple'!$H$30,-SUM(H103:H106)*'Peer Inside An EBITDA Multiple'!$H$12,"")</f>
        <v/>
      </c>
      <c r="I107" s="146" t="str">
        <f>IF(36&lt;='Peer Inside An EBITDA Multiple'!$H$30,-H107,"")</f>
        <v/>
      </c>
      <c r="J107" s="146" t="str">
        <f>IF(36&lt;='Peer Inside An EBITDA Multiple'!$H$30,SUM(G107:I107),"")</f>
        <v/>
      </c>
      <c r="K107" s="146" t="str">
        <f>IF(37&lt;='Peer Inside An EBITDA Multiple'!$H$30,-SUM(K103:K106)*'Peer Inside An EBITDA Multiple'!$H$12,"")</f>
        <v/>
      </c>
      <c r="L107" s="146" t="str">
        <f>IF(37&lt;='Peer Inside An EBITDA Multiple'!$H$30,-K107,"")</f>
        <v/>
      </c>
      <c r="M107" s="146" t="str">
        <f>IF(37&lt;='Peer Inside An EBITDA Multiple'!$H$30,SUM(J107:L107),"")</f>
        <v/>
      </c>
      <c r="N107" s="146" t="str">
        <f>IF(38&lt;='Peer Inside An EBITDA Multiple'!$H$30,-SUM(N103:N106)*'Peer Inside An EBITDA Multiple'!$H$12,"")</f>
        <v/>
      </c>
      <c r="O107" s="146" t="str">
        <f>IF(38&lt;='Peer Inside An EBITDA Multiple'!$H$30,-N107,"")</f>
        <v/>
      </c>
      <c r="P107" s="146" t="str">
        <f>IF(38&lt;='Peer Inside An EBITDA Multiple'!$H$30,SUM(M107:O107),"")</f>
        <v/>
      </c>
      <c r="Q107" s="146" t="str">
        <f>IF(39&lt;='Peer Inside An EBITDA Multiple'!$H$30,-SUM(Q103:Q106)*'Peer Inside An EBITDA Multiple'!$H$12,"")</f>
        <v/>
      </c>
      <c r="R107" s="146" t="str">
        <f>IF(39&lt;='Peer Inside An EBITDA Multiple'!$H$30,-Q107,"")</f>
        <v/>
      </c>
      <c r="S107" s="146" t="str">
        <f>IF(39&lt;='Peer Inside An EBITDA Multiple'!$H$30,SUM(P107:R107),"")</f>
        <v/>
      </c>
      <c r="T107" s="146" t="str">
        <f>IF(40&lt;='Peer Inside An EBITDA Multiple'!$H$30,-SUM(T103:T106)*'Peer Inside An EBITDA Multiple'!$H$12,"")</f>
        <v/>
      </c>
      <c r="U107" s="146" t="str">
        <f>IF(40&lt;='Peer Inside An EBITDA Multiple'!$H$30,-T107,"")</f>
        <v/>
      </c>
      <c r="V107" s="146" t="str">
        <f>IF(40&lt;='Peer Inside An EBITDA Multiple'!$H$30,SUM(S107:U107),"")</f>
        <v/>
      </c>
    </row>
    <row r="108" spans="2:22" ht="12.75" customHeight="1" thickBot="1">
      <c r="B108" s="155" t="str">
        <f>IF('Peer Inside An EBITDA Multiple'!$H$30&gt;35,B95+11,"")</f>
        <v/>
      </c>
      <c r="D108" s="139" t="str">
        <f>IF('Peer Inside An EBITDA Multiple'!$H$30&gt;35,D95,"")</f>
        <v/>
      </c>
      <c r="E108" s="136"/>
      <c r="F108" s="144" t="str">
        <f>IF('Peer Inside An EBITDA Multiple'!$H$30&gt;35,"SUM(["&amp;TEXT(B98,"0")&amp;"]:["&amp;TEXT(B107,"0")&amp;"])","")</f>
        <v/>
      </c>
      <c r="G108" s="151" t="str">
        <f>IF(V84&lt;'Peer Inside An EBITDA Multiple'!$H$30,ABS(SUM(G98:G107)),"")</f>
        <v/>
      </c>
      <c r="H108" s="151" t="str">
        <f>IF(J97&lt;='Peer Inside An EBITDA Multiple'!$H$30,ABS(SUM(H98:H107)),"")</f>
        <v/>
      </c>
      <c r="I108" s="151" t="str">
        <f>IF(J97&lt;='Peer Inside An EBITDA Multiple'!$H$30,ABS(SUM(I98:I107)),"")</f>
        <v/>
      </c>
      <c r="J108" s="151" t="str">
        <f>IF(J97&lt;='Peer Inside An EBITDA Multiple'!$H$30,ABS(SUM(J98:J107)),"")</f>
        <v/>
      </c>
      <c r="K108" s="151" t="str">
        <f>IF(M97&lt;='Peer Inside An EBITDA Multiple'!$H$30,ABS(SUM(K98:K107)),"")</f>
        <v/>
      </c>
      <c r="L108" s="151" t="str">
        <f>IF(M97&lt;='Peer Inside An EBITDA Multiple'!$H$30,ABS(SUM(L98:L107)),"")</f>
        <v/>
      </c>
      <c r="M108" s="151" t="str">
        <f>IF(M97&lt;='Peer Inside An EBITDA Multiple'!$H$30,ABS(SUM(M98:M107)),"")</f>
        <v/>
      </c>
      <c r="N108" s="151" t="str">
        <f>IF(P97&lt;='Peer Inside An EBITDA Multiple'!$H$30,ABS(SUM(N98:N107)),"")</f>
        <v/>
      </c>
      <c r="O108" s="151" t="str">
        <f>IF(P97&lt;='Peer Inside An EBITDA Multiple'!$H$30,ABS(SUM(O98:O107)),"")</f>
        <v/>
      </c>
      <c r="P108" s="151" t="str">
        <f>IF(P97&lt;='Peer Inside An EBITDA Multiple'!$H$30,ABS(SUM(P98:P107)),"")</f>
        <v/>
      </c>
      <c r="Q108" s="151" t="str">
        <f>IF(S97&lt;='Peer Inside An EBITDA Multiple'!$H$30,ABS(SUM(Q98:Q107)),"")</f>
        <v/>
      </c>
      <c r="R108" s="151" t="str">
        <f>IF(S97&lt;='Peer Inside An EBITDA Multiple'!$H$30,ABS(SUM(R98:R107)),"")</f>
        <v/>
      </c>
      <c r="S108" s="151" t="str">
        <f>IF(S97&lt;='Peer Inside An EBITDA Multiple'!$H$30,ABS(SUM(S98:S107)),"")</f>
        <v/>
      </c>
      <c r="T108" s="151" t="str">
        <f>IF(V97&lt;='Peer Inside An EBITDA Multiple'!$H$30,ABS(SUM(T98:T107)),"")</f>
        <v/>
      </c>
      <c r="U108" s="151" t="str">
        <f>IF(V97&lt;='Peer Inside An EBITDA Multiple'!$H$30,ABS(SUM(U98:U107)),"")</f>
        <v/>
      </c>
      <c r="V108" s="151" t="str">
        <f>IF(V97&lt;='Peer Inside An EBITDA Multiple'!$H$30,ABS(SUM(V98:V107)),"")</f>
        <v/>
      </c>
    </row>
    <row r="109" spans="2:22" ht="9" customHeight="1" thickTop="1"/>
    <row r="110" spans="2:22" ht="12" customHeight="1">
      <c r="D110" s="138" t="str">
        <f>IF('Peer Inside An EBITDA Multiple'!$H$30&gt;40,IF('Peer Inside An EBITDA Multiple'!$H$30=41,"Trial Balance 41","Trial Balances 41 - "&amp;IF('Peer Inside An EBITDA Multiple'!$H$30&lt;=44,'Peer Inside An EBITDA Multiple'!$H$30,"45")),"")</f>
        <v/>
      </c>
      <c r="E110" s="138"/>
      <c r="F110" s="143" t="str">
        <f>IF('Peer Inside An EBITDA Multiple'!$H$30&gt;40,"ref","")</f>
        <v/>
      </c>
      <c r="G110" s="149" t="str">
        <f>IF(V97&lt;'Peer Inside An EBITDA Multiple'!$H$30,V97,"")</f>
        <v/>
      </c>
      <c r="H110" s="149" t="str">
        <f>IF(G110&lt;'Peer Inside An EBITDA Multiple'!$H$30,"Activity","")</f>
        <v/>
      </c>
      <c r="I110" s="149" t="str">
        <f>IF(G110&lt;'Peer Inside An EBITDA Multiple'!$H$30,"Close","")</f>
        <v/>
      </c>
      <c r="J110" s="150" t="str">
        <f>IF(G110&lt;'Peer Inside An EBITDA Multiple'!$H$30,G110+1,"")</f>
        <v/>
      </c>
      <c r="K110" s="149" t="str">
        <f>IF(J110&lt;'Peer Inside An EBITDA Multiple'!$H$30,"Activity","")</f>
        <v/>
      </c>
      <c r="L110" s="149" t="str">
        <f>IF(J110&lt;'Peer Inside An EBITDA Multiple'!$H$30,"Close","")</f>
        <v/>
      </c>
      <c r="M110" s="150" t="str">
        <f>IF(J110&lt;'Peer Inside An EBITDA Multiple'!$H$30,J110+1,"")</f>
        <v/>
      </c>
      <c r="N110" s="149" t="str">
        <f>IF(M110&lt;'Peer Inside An EBITDA Multiple'!$H$30,"Activity","")</f>
        <v/>
      </c>
      <c r="O110" s="149" t="str">
        <f>IF(M110&lt;'Peer Inside An EBITDA Multiple'!$H$30,"Close","")</f>
        <v/>
      </c>
      <c r="P110" s="150" t="str">
        <f>IF(M110&lt;'Peer Inside An EBITDA Multiple'!$H$30,M110+1,"")</f>
        <v/>
      </c>
      <c r="Q110" s="149" t="str">
        <f>IF(P110&lt;'Peer Inside An EBITDA Multiple'!$H$30,"Activity","")</f>
        <v/>
      </c>
      <c r="R110" s="149" t="str">
        <f>IF(P110&lt;'Peer Inside An EBITDA Multiple'!$H$30,"Close","")</f>
        <v/>
      </c>
      <c r="S110" s="150" t="str">
        <f>IF(P110&lt;'Peer Inside An EBITDA Multiple'!$H$30,P110+1,"")</f>
        <v/>
      </c>
      <c r="T110" s="149" t="str">
        <f>IF(S110&lt;'Peer Inside An EBITDA Multiple'!$H$30,"Activity","")</f>
        <v/>
      </c>
      <c r="U110" s="149" t="str">
        <f>IF(S110&lt;'Peer Inside An EBITDA Multiple'!$H$30,"Close","")</f>
        <v/>
      </c>
      <c r="V110" s="150" t="str">
        <f>IF(S110&lt;'Peer Inside An EBITDA Multiple'!$H$30,S110+1,"")</f>
        <v/>
      </c>
    </row>
    <row r="111" spans="2:22" ht="12" customHeight="1">
      <c r="B111" s="155" t="str">
        <f>IF('Peer Inside An EBITDA Multiple'!$H$30&gt;40,B98+11,"")</f>
        <v/>
      </c>
      <c r="D111" s="139" t="str">
        <f>IF('Peer Inside An EBITDA Multiple'!$H$30&gt;40,D98,"")</f>
        <v/>
      </c>
      <c r="E111" s="136"/>
      <c r="F111" s="145" t="str">
        <f>IF('Peer Inside An EBITDA Multiple'!$H$30&gt;40,"["&amp;'Peer Inside An EBITDA Multiple'!$C$39&amp;"]","")</f>
        <v/>
      </c>
      <c r="G111" s="146" t="str">
        <f>IF('Peer Inside An EBITDA Multiple'!$H$30&gt;G110,V98,"")</f>
        <v/>
      </c>
      <c r="I111" s="146" t="str">
        <f>IF(41&lt;'Peer Inside An EBITDA Multiple'!$H$30,"",IF(41='Peer Inside An EBITDA Multiple'!$H$30,-V98,""))</f>
        <v/>
      </c>
      <c r="J111" s="146" t="str">
        <f>IF(41&lt;='Peer Inside An EBITDA Multiple'!$H$30,SUM(G111:I111),"")</f>
        <v/>
      </c>
      <c r="L111" s="146" t="str">
        <f>IF(42&lt;'Peer Inside An EBITDA Multiple'!$H$30,"",IF(42='Peer Inside An EBITDA Multiple'!$H$30,-J111,""))</f>
        <v/>
      </c>
      <c r="M111" s="146" t="str">
        <f>IF(42&lt;='Peer Inside An EBITDA Multiple'!$H$30,SUM(J111:L111),"")</f>
        <v/>
      </c>
      <c r="O111" s="146" t="str">
        <f>IF(43&lt;'Peer Inside An EBITDA Multiple'!$H$30,"",IF(43='Peer Inside An EBITDA Multiple'!$H$30,-M111,""))</f>
        <v/>
      </c>
      <c r="P111" s="146" t="str">
        <f>IF(43&lt;='Peer Inside An EBITDA Multiple'!$H$30,SUM(M111:O111),"")</f>
        <v/>
      </c>
      <c r="R111" s="146" t="str">
        <f>IF(44&lt;'Peer Inside An EBITDA Multiple'!$H$30,"",IF(44='Peer Inside An EBITDA Multiple'!$H$30,-P111,""))</f>
        <v/>
      </c>
      <c r="S111" s="146" t="str">
        <f>IF(44&lt;='Peer Inside An EBITDA Multiple'!$H$30,SUM(P111:R111),"")</f>
        <v/>
      </c>
      <c r="U111" s="146" t="str">
        <f>IF(45&lt;'Peer Inside An EBITDA Multiple'!$H$30,"",IF(45='Peer Inside An EBITDA Multiple'!$H$30,-S111,""))</f>
        <v/>
      </c>
      <c r="V111" s="146" t="str">
        <f>IF(45&lt;='Peer Inside An EBITDA Multiple'!$H$30,SUM(S111:U111),"")</f>
        <v/>
      </c>
    </row>
    <row r="112" spans="2:22" ht="12" customHeight="1">
      <c r="B112" s="155" t="str">
        <f>IF('Peer Inside An EBITDA Multiple'!$H$30&gt;40,B99+11,"")</f>
        <v/>
      </c>
      <c r="D112" s="139" t="str">
        <f>IF('Peer Inside An EBITDA Multiple'!$H$30&gt;40,D99,"")</f>
        <v/>
      </c>
      <c r="E112" s="136"/>
      <c r="F112" s="144" t="str">
        <f>IF('Peer Inside An EBITDA Multiple'!$H$30&gt;40,"["&amp;TEXT(B112,"0")&amp;"]-["&amp;TEXT(B117,"0")&amp;"]","")</f>
        <v/>
      </c>
      <c r="G112" s="146" t="str">
        <f>IF('Peer Inside An EBITDA Multiple'!$H$30&gt;G110,V99,"")</f>
        <v/>
      </c>
      <c r="H112" s="146" t="str">
        <f>IF(41&lt;='Peer Inside An EBITDA Multiple'!$H$30,-H117,"")</f>
        <v/>
      </c>
      <c r="I112" s="146" t="str">
        <f>IF(41='Peer Inside An EBITDA Multiple'!$H$30,-I111,"")</f>
        <v/>
      </c>
      <c r="J112" s="146" t="str">
        <f>IF(41='Peer Inside An EBITDA Multiple'!$H$30,SUM(G112:I112),IF(41&lt;='Peer Inside An EBITDA Multiple'!$H$30,G112-H117,""))</f>
        <v/>
      </c>
      <c r="K112" s="146" t="str">
        <f>IF(42&lt;='Peer Inside An EBITDA Multiple'!$H$30,-K117,"")</f>
        <v/>
      </c>
      <c r="L112" s="146" t="str">
        <f>IF(42='Peer Inside An EBITDA Multiple'!$H$30,-L111,"")</f>
        <v/>
      </c>
      <c r="M112" s="146" t="str">
        <f>IF(42='Peer Inside An EBITDA Multiple'!$H$30,SUM(J112:L112),IF(42&lt;='Peer Inside An EBITDA Multiple'!$H$30,J112-K117,""))</f>
        <v/>
      </c>
      <c r="N112" s="146" t="str">
        <f>IF(43&lt;='Peer Inside An EBITDA Multiple'!$H$30,-N117,"")</f>
        <v/>
      </c>
      <c r="O112" s="146" t="str">
        <f>IF(43='Peer Inside An EBITDA Multiple'!$H$30,-O111,"")</f>
        <v/>
      </c>
      <c r="P112" s="146" t="str">
        <f>IF(43='Peer Inside An EBITDA Multiple'!$H$30,SUM(M112:O112),IF(43&lt;='Peer Inside An EBITDA Multiple'!$H$30,M112-N117,""))</f>
        <v/>
      </c>
      <c r="Q112" s="146" t="str">
        <f>IF(44&lt;='Peer Inside An EBITDA Multiple'!$H$30,-Q117,"")</f>
        <v/>
      </c>
      <c r="R112" s="146" t="str">
        <f>IF(44='Peer Inside An EBITDA Multiple'!$H$30,-R111,"")</f>
        <v/>
      </c>
      <c r="S112" s="146" t="str">
        <f>IF(44='Peer Inside An EBITDA Multiple'!$H$30,SUM(P112:R112),IF(44&lt;='Peer Inside An EBITDA Multiple'!$H$30,P112-Q117,""))</f>
        <v/>
      </c>
      <c r="T112" s="146" t="str">
        <f>IF(45&lt;='Peer Inside An EBITDA Multiple'!$H$30,-T117,"")</f>
        <v/>
      </c>
      <c r="U112" s="146" t="str">
        <f>IF(45='Peer Inside An EBITDA Multiple'!$H$30,-U111,"")</f>
        <v/>
      </c>
      <c r="V112" s="146" t="str">
        <f>IF(45='Peer Inside An EBITDA Multiple'!$H$30,SUM(S112:U112),IF(45&lt;='Peer Inside An EBITDA Multiple'!$H$30,S112-T117,""))</f>
        <v/>
      </c>
    </row>
    <row r="113" spans="2:22" ht="12" customHeight="1">
      <c r="B113" s="155" t="str">
        <f>IF('Peer Inside An EBITDA Multiple'!$H$30&gt;40,B100+11,"")</f>
        <v/>
      </c>
      <c r="D113" s="139" t="str">
        <f>IF('Peer Inside An EBITDA Multiple'!$H$30&gt;40,D100,"")</f>
        <v/>
      </c>
      <c r="E113" s="136"/>
      <c r="F113" s="144" t="str">
        <f>IF('Peer Inside An EBITDA Multiple'!$H$30&gt;40,"-SUM(["&amp;TEXT(B111,"0")&amp;"]:["&amp;TEXT(B112,"0")&amp;"],["&amp;TEXT(B114,"0")&amp;"]:["&amp;TEXT(B120,"0")&amp;"])","")</f>
        <v/>
      </c>
      <c r="G113" s="146" t="str">
        <f>IF('Peer Inside An EBITDA Multiple'!$H$30&gt;G110,V100,"")</f>
        <v/>
      </c>
      <c r="H113" s="146" t="str">
        <f>IF(41&lt;='Peer Inside An EBITDA Multiple'!$H$30,-SUM(H111:H112,H114:H120),"")</f>
        <v/>
      </c>
      <c r="J113" s="146" t="str">
        <f>IF(41='Peer Inside An EBITDA Multiple'!$H$30,ABS(SUM(G113:I113)),IF(41&lt;'Peer Inside An EBITDA Multiple'!$H$30,SUM(G113:I113),""))</f>
        <v/>
      </c>
      <c r="K113" s="146" t="str">
        <f>IF(42&lt;='Peer Inside An EBITDA Multiple'!$H$30,-SUM(K111:K112,K114:K120),"")</f>
        <v/>
      </c>
      <c r="M113" s="146" t="str">
        <f>IF(42='Peer Inside An EBITDA Multiple'!$H$30,ABS(SUM(J113:L113)),IF(42&lt;'Peer Inside An EBITDA Multiple'!$H$30,SUM(J113:L113),""))</f>
        <v/>
      </c>
      <c r="N113" s="146" t="str">
        <f>IF(43&lt;='Peer Inside An EBITDA Multiple'!$H$30,-SUM(N111:N112,N114:N120),"")</f>
        <v/>
      </c>
      <c r="P113" s="146" t="str">
        <f>IF(43='Peer Inside An EBITDA Multiple'!$H$30,ABS(SUM(M113:O113)),IF(43&lt;'Peer Inside An EBITDA Multiple'!$H$30,SUM(M113:O113),""))</f>
        <v/>
      </c>
      <c r="Q113" s="146" t="str">
        <f>IF(44&lt;='Peer Inside An EBITDA Multiple'!$H$30,-SUM(Q111:Q112,Q114:Q120),"")</f>
        <v/>
      </c>
      <c r="S113" s="146" t="str">
        <f>IF(44='Peer Inside An EBITDA Multiple'!$H$30,ABS(SUM(P113:R113)),IF(44&lt;'Peer Inside An EBITDA Multiple'!$H$30,SUM(P113:R113),""))</f>
        <v/>
      </c>
      <c r="T113" s="146" t="str">
        <f>IF(45&lt;='Peer Inside An EBITDA Multiple'!$H$30,-SUM(T111:T112,T114:T120),"")</f>
        <v/>
      </c>
      <c r="V113" s="146" t="str">
        <f>IF(45='Peer Inside An EBITDA Multiple'!$H$30,ABS(SUM(S113:U113)),IF(45&lt;'Peer Inside An EBITDA Multiple'!$H$30,SUM(S113:U113),""))</f>
        <v/>
      </c>
    </row>
    <row r="114" spans="2:22" ht="12" customHeight="1">
      <c r="B114" s="155" t="str">
        <f>IF('Peer Inside An EBITDA Multiple'!$H$30&gt;40,B101+11,"")</f>
        <v/>
      </c>
      <c r="D114" s="139" t="str">
        <f>IF('Peer Inside An EBITDA Multiple'!$H$30&gt;40,D101,"")</f>
        <v/>
      </c>
      <c r="E114" s="136"/>
      <c r="F114" s="144" t="str">
        <f>IF('Peer Inside An EBITDA Multiple'!$H$30&gt;40,"-["&amp;'Peer Inside An EBITDA Multiple'!$C$44&amp;"]*["&amp;'Peer Inside An EBITDA Multiple'!$C$10&amp;"]","")</f>
        <v/>
      </c>
      <c r="G114" s="146" t="str">
        <f>IF('Peer Inside An EBITDA Multiple'!$H$30&gt;G110,V101,"")</f>
        <v/>
      </c>
      <c r="H114" s="146" t="str">
        <f>IF(41&lt;='Peer Inside An EBITDA Multiple'!$H$30,-'Peer Inside An EBITDA Multiple'!AW59,"")</f>
        <v/>
      </c>
      <c r="J114" s="146" t="str">
        <f>IF(41='Peer Inside An EBITDA Multiple'!$H$30,ABS(SUM(G114:I114)),IF(41&lt;'Peer Inside An EBITDA Multiple'!$H$30,SUM(G114:I114),""))</f>
        <v/>
      </c>
      <c r="K114" s="146" t="str">
        <f>IF(42&lt;='Peer Inside An EBITDA Multiple'!$H$30,-'Peer Inside An EBITDA Multiple'!AX59,"")</f>
        <v/>
      </c>
      <c r="M114" s="146" t="str">
        <f>IF(42='Peer Inside An EBITDA Multiple'!$H$30,ABS(SUM(J114:L114)),IF(42&lt;'Peer Inside An EBITDA Multiple'!$H$30,SUM(J114:L114),""))</f>
        <v/>
      </c>
      <c r="N114" s="146" t="str">
        <f>IF(43&lt;='Peer Inside An EBITDA Multiple'!$H$30,-'Peer Inside An EBITDA Multiple'!AY59,"")</f>
        <v/>
      </c>
      <c r="P114" s="146" t="str">
        <f>IF(43='Peer Inside An EBITDA Multiple'!$H$30,ABS(SUM(M114:O114)),IF(43&lt;'Peer Inside An EBITDA Multiple'!$H$30,SUM(M114:O114),""))</f>
        <v/>
      </c>
      <c r="Q114" s="146" t="str">
        <f>IF(44&lt;='Peer Inside An EBITDA Multiple'!$H$30,-'Peer Inside An EBITDA Multiple'!AZ59,"")</f>
        <v/>
      </c>
      <c r="S114" s="146" t="str">
        <f>IF(44='Peer Inside An EBITDA Multiple'!$H$30,ABS(SUM(P114:R114)),IF(44&lt;'Peer Inside An EBITDA Multiple'!$H$30,SUM(P114:R114),""))</f>
        <v/>
      </c>
      <c r="T114" s="146" t="str">
        <f>IF(45&lt;='Peer Inside An EBITDA Multiple'!$H$30,-'Peer Inside An EBITDA Multiple'!BA59,"")</f>
        <v/>
      </c>
      <c r="V114" s="146" t="str">
        <f>IF(45='Peer Inside An EBITDA Multiple'!$H$30,ABS(SUM(S114:U114)),IF(45&lt;'Peer Inside An EBITDA Multiple'!$H$30,SUM(S114:U114),""))</f>
        <v/>
      </c>
    </row>
    <row r="115" spans="2:22" ht="12" customHeight="1">
      <c r="B115" s="155" t="str">
        <f>IF('Peer Inside An EBITDA Multiple'!$H$30&gt;40,B102+11,"")</f>
        <v/>
      </c>
      <c r="D115" s="139" t="str">
        <f>IF('Peer Inside An EBITDA Multiple'!$H$30&gt;40,D102,"")</f>
        <v/>
      </c>
      <c r="E115" s="136"/>
      <c r="F115" s="144" t="str">
        <f>IF('Peer Inside An EBITDA Multiple'!$H$30&gt;40,"-["&amp;'Peer Inside An EBITDA Multiple'!$C$44&amp;"]*(1-["&amp;'Peer Inside An EBITDA Multiple'!$C$10&amp;"])","")</f>
        <v/>
      </c>
      <c r="G115" s="146" t="str">
        <f>IF('Peer Inside An EBITDA Multiple'!$H$30&gt;G110,V102,"")</f>
        <v/>
      </c>
      <c r="H115" s="146" t="str">
        <f>IF(41&lt;='Peer Inside An EBITDA Multiple'!$H$30,J115-V102-I115,"")</f>
        <v/>
      </c>
      <c r="I115" s="146" t="str">
        <f>IF(41&lt;='Peer Inside An EBITDA Multiple'!$H$30,-SUM(I116:I120),"")</f>
        <v/>
      </c>
      <c r="J115" s="146" t="str">
        <f>IF(41='Peer Inside An EBITDA Multiple'!$H$30,0,IF(41&lt;'Peer Inside An EBITDA Multiple'!$H$30,-'Peer Inside An EBITDA Multiple'!AW66,""))</f>
        <v/>
      </c>
      <c r="K115" s="146" t="str">
        <f>IF(42&lt;='Peer Inside An EBITDA Multiple'!$H$30,M115-J115-L115,"")</f>
        <v/>
      </c>
      <c r="L115" s="146" t="str">
        <f>IF(42&lt;='Peer Inside An EBITDA Multiple'!$H$30,-SUM(L116:L120),"")</f>
        <v/>
      </c>
      <c r="M115" s="146" t="str">
        <f>IF(42='Peer Inside An EBITDA Multiple'!$H$30,0,IF(42&lt;'Peer Inside An EBITDA Multiple'!$H$30,-'Peer Inside An EBITDA Multiple'!AX66,""))</f>
        <v/>
      </c>
      <c r="N115" s="146" t="str">
        <f>IF(43&lt;='Peer Inside An EBITDA Multiple'!$H$30,P115-M115-O115,"")</f>
        <v/>
      </c>
      <c r="O115" s="146" t="str">
        <f>IF(43&lt;='Peer Inside An EBITDA Multiple'!$H$30,-SUM(O116:O120),"")</f>
        <v/>
      </c>
      <c r="P115" s="146" t="str">
        <f>IF(43='Peer Inside An EBITDA Multiple'!$H$30,0,IF(43&lt;'Peer Inside An EBITDA Multiple'!$H$30,-'Peer Inside An EBITDA Multiple'!AY66,""))</f>
        <v/>
      </c>
      <c r="Q115" s="146" t="str">
        <f>IF(44&lt;='Peer Inside An EBITDA Multiple'!$H$30,S115-P115-R115,"")</f>
        <v/>
      </c>
      <c r="R115" s="146" t="str">
        <f>IF(44&lt;='Peer Inside An EBITDA Multiple'!$H$30,-SUM(R116:R120),"")</f>
        <v/>
      </c>
      <c r="S115" s="146" t="str">
        <f>IF(44='Peer Inside An EBITDA Multiple'!$H$30,0,IF(44&lt;'Peer Inside An EBITDA Multiple'!$H$30,-'Peer Inside An EBITDA Multiple'!AZ66,""))</f>
        <v/>
      </c>
      <c r="T115" s="146" t="str">
        <f>IF(45&lt;='Peer Inside An EBITDA Multiple'!$H$30,V115-S115-U115,"")</f>
        <v/>
      </c>
      <c r="U115" s="146" t="str">
        <f>IF(45&lt;='Peer Inside An EBITDA Multiple'!$H$30,-SUM(U116:U120),"")</f>
        <v/>
      </c>
      <c r="V115" s="146" t="str">
        <f>IF(45='Peer Inside An EBITDA Multiple'!$H$30,0,IF(45&lt;'Peer Inside An EBITDA Multiple'!$H$30,-'Peer Inside An EBITDA Multiple'!BA66,""))</f>
        <v/>
      </c>
    </row>
    <row r="116" spans="2:22" ht="12" customHeight="1">
      <c r="B116" s="155" t="str">
        <f>IF('Peer Inside An EBITDA Multiple'!$H$30&gt;40,B103+11,"")</f>
        <v/>
      </c>
      <c r="D116" s="139" t="str">
        <f>IF('Peer Inside An EBITDA Multiple'!$H$30&gt;40,D103,"")</f>
        <v/>
      </c>
      <c r="E116" s="136"/>
      <c r="F116" s="144" t="str">
        <f>IF('Peer Inside An EBITDA Multiple'!$H$30&gt;40,"["&amp;TEXT('Peer Inside An EBITDA Multiple'!$C$46,"0")&amp;"]","")</f>
        <v/>
      </c>
      <c r="G116" s="146" t="str">
        <f>IF('Peer Inside An EBITDA Multiple'!$H$30&gt;G110,V103,"")</f>
        <v/>
      </c>
      <c r="H116" s="146" t="str">
        <f>IF(41&lt;='Peer Inside An EBITDA Multiple'!$H$30,-'Peer Inside An EBITDA Multiple'!AW49,"")</f>
        <v/>
      </c>
      <c r="I116" s="146" t="str">
        <f>IF(41&lt;='Peer Inside An EBITDA Multiple'!$H$30,-H116,"")</f>
        <v/>
      </c>
      <c r="J116" s="146" t="str">
        <f>IF(41&lt;='Peer Inside An EBITDA Multiple'!$H$30,SUM(G116:I116),"")</f>
        <v/>
      </c>
      <c r="K116" s="146" t="str">
        <f>IF(42&lt;='Peer Inside An EBITDA Multiple'!$H$30,-'Peer Inside An EBITDA Multiple'!AX49,"")</f>
        <v/>
      </c>
      <c r="L116" s="146" t="str">
        <f>IF(42&lt;='Peer Inside An EBITDA Multiple'!$H$30,-K116,"")</f>
        <v/>
      </c>
      <c r="M116" s="146" t="str">
        <f>IF(42&lt;='Peer Inside An EBITDA Multiple'!$H$30,SUM(J116:L116),"")</f>
        <v/>
      </c>
      <c r="N116" s="146" t="str">
        <f>IF(43&lt;='Peer Inside An EBITDA Multiple'!$H$30,-'Peer Inside An EBITDA Multiple'!AY49,"")</f>
        <v/>
      </c>
      <c r="O116" s="146" t="str">
        <f>IF(43&lt;='Peer Inside An EBITDA Multiple'!$H$30,-N116,"")</f>
        <v/>
      </c>
      <c r="P116" s="146" t="str">
        <f>IF(43&lt;='Peer Inside An EBITDA Multiple'!$H$30,SUM(M116:O116),"")</f>
        <v/>
      </c>
      <c r="Q116" s="146" t="str">
        <f>IF(44&lt;='Peer Inside An EBITDA Multiple'!$H$30,-'Peer Inside An EBITDA Multiple'!AZ49,"")</f>
        <v/>
      </c>
      <c r="R116" s="146" t="str">
        <f>IF(44&lt;='Peer Inside An EBITDA Multiple'!$H$30,-Q116,"")</f>
        <v/>
      </c>
      <c r="S116" s="146" t="str">
        <f>IF(44&lt;='Peer Inside An EBITDA Multiple'!$H$30,SUM(P116:R116),"")</f>
        <v/>
      </c>
      <c r="T116" s="146" t="str">
        <f>IF(45&lt;='Peer Inside An EBITDA Multiple'!$H$30,-'Peer Inside An EBITDA Multiple'!BA49,"")</f>
        <v/>
      </c>
      <c r="U116" s="146" t="str">
        <f>IF(45&lt;='Peer Inside An EBITDA Multiple'!$H$30,-T116,"")</f>
        <v/>
      </c>
      <c r="V116" s="146" t="str">
        <f>IF(45&lt;='Peer Inside An EBITDA Multiple'!$H$30,SUM(S116:U116),"")</f>
        <v/>
      </c>
    </row>
    <row r="117" spans="2:22" ht="12" customHeight="1">
      <c r="B117" s="155" t="str">
        <f>IF('Peer Inside An EBITDA Multiple'!$H$30&gt;40,B104+11,"")</f>
        <v/>
      </c>
      <c r="D117" s="139" t="str">
        <f>IF('Peer Inside An EBITDA Multiple'!$H$30&gt;40,D104,"")</f>
        <v/>
      </c>
      <c r="E117" s="136"/>
      <c r="F117" s="144" t="str">
        <f>IF('Peer Inside An EBITDA Multiple'!$H$30&gt;40,"["&amp;TEXT('Peer Inside An EBITDA Multiple'!$C$39,"0")&amp;"]/["&amp;'Peer Inside An EBITDA Multiple'!C$30&amp;"]","")</f>
        <v/>
      </c>
      <c r="G117" s="146" t="str">
        <f>IF('Peer Inside An EBITDA Multiple'!$H$30&gt;G110,V104,"")</f>
        <v/>
      </c>
      <c r="H117" s="146" t="str">
        <f>IF(41&lt;='Peer Inside An EBITDA Multiple'!$H$30,T104,"")</f>
        <v/>
      </c>
      <c r="I117" s="146" t="str">
        <f>IF(41&lt;='Peer Inside An EBITDA Multiple'!$H$30,-H117,"")</f>
        <v/>
      </c>
      <c r="J117" s="146" t="str">
        <f>IF(41&lt;='Peer Inside An EBITDA Multiple'!$H$30,SUM(G117:I117),"")</f>
        <v/>
      </c>
      <c r="K117" s="146" t="str">
        <f>IF(42&lt;='Peer Inside An EBITDA Multiple'!$H$30,H117,"")</f>
        <v/>
      </c>
      <c r="L117" s="146" t="str">
        <f>IF(42&lt;='Peer Inside An EBITDA Multiple'!$H$30,-K117,"")</f>
        <v/>
      </c>
      <c r="M117" s="146" t="str">
        <f>IF(42&lt;='Peer Inside An EBITDA Multiple'!$H$30,SUM(J117:L117),"")</f>
        <v/>
      </c>
      <c r="N117" s="146" t="str">
        <f>IF(43&lt;='Peer Inside An EBITDA Multiple'!$H$30,K117,"")</f>
        <v/>
      </c>
      <c r="O117" s="146" t="str">
        <f>IF(43&lt;='Peer Inside An EBITDA Multiple'!$H$30,-N117,"")</f>
        <v/>
      </c>
      <c r="P117" s="146" t="str">
        <f>IF(43&lt;='Peer Inside An EBITDA Multiple'!$H$30,SUM(M117:O117),"")</f>
        <v/>
      </c>
      <c r="Q117" s="146" t="str">
        <f>IF(44&lt;='Peer Inside An EBITDA Multiple'!$H$30,N117,"")</f>
        <v/>
      </c>
      <c r="R117" s="146" t="str">
        <f>IF(44&lt;='Peer Inside An EBITDA Multiple'!$H$30,-Q117,"")</f>
        <v/>
      </c>
      <c r="S117" s="146" t="str">
        <f>IF(44&lt;='Peer Inside An EBITDA Multiple'!$H$30,SUM(P117:R117),"")</f>
        <v/>
      </c>
      <c r="T117" s="146" t="str">
        <f>IF(45&lt;='Peer Inside An EBITDA Multiple'!$H$30,Q117,"")</f>
        <v/>
      </c>
      <c r="U117" s="146" t="str">
        <f>IF(45&lt;='Peer Inside An EBITDA Multiple'!$H$30,-T117,"")</f>
        <v/>
      </c>
      <c r="V117" s="146" t="str">
        <f>IF(45&lt;='Peer Inside An EBITDA Multiple'!$H$30,SUM(S117:U117),"")</f>
        <v/>
      </c>
    </row>
    <row r="118" spans="2:22" ht="12" customHeight="1">
      <c r="B118" s="155" t="str">
        <f>IF('Peer Inside An EBITDA Multiple'!$H$30&gt;40,B105+11,"")</f>
        <v/>
      </c>
      <c r="D118" s="139" t="str">
        <f>IF('Peer Inside An EBITDA Multiple'!$H$30&gt;40,D105,"")</f>
        <v/>
      </c>
      <c r="E118" s="136"/>
      <c r="F118" s="144" t="str">
        <f>IF('Peer Inside An EBITDA Multiple'!$H$30&gt;40,"-["&amp;TEXT(B114,"0")&amp;"]*["&amp;TEXT('Peer Inside An EBITDA Multiple'!$C$11,"0")&amp;"]","")</f>
        <v/>
      </c>
      <c r="G118" s="146" t="str">
        <f>IF('Peer Inside An EBITDA Multiple'!$H$30&gt;G110,V105,"")</f>
        <v/>
      </c>
      <c r="H118" s="146" t="str">
        <f>IF(41&lt;='Peer Inside An EBITDA Multiple'!$H$30,-V101*'Peer Inside An EBITDA Multiple'!$H$11,"")</f>
        <v/>
      </c>
      <c r="I118" s="146" t="str">
        <f>IF(41&lt;='Peer Inside An EBITDA Multiple'!$H$30,-H118,"")</f>
        <v/>
      </c>
      <c r="J118" s="146" t="str">
        <f>IF(41&lt;='Peer Inside An EBITDA Multiple'!$H$30,SUM(G118:I118),"")</f>
        <v/>
      </c>
      <c r="K118" s="146" t="str">
        <f>IF(42&lt;='Peer Inside An EBITDA Multiple'!$H$30,-J114*'Peer Inside An EBITDA Multiple'!$H$11,"")</f>
        <v/>
      </c>
      <c r="L118" s="146" t="str">
        <f>IF(42&lt;='Peer Inside An EBITDA Multiple'!$H$30,-K118,"")</f>
        <v/>
      </c>
      <c r="M118" s="146" t="str">
        <f>IF(42&lt;='Peer Inside An EBITDA Multiple'!$H$30,SUM(J118:L118),"")</f>
        <v/>
      </c>
      <c r="N118" s="146" t="str">
        <f>IF(43&lt;='Peer Inside An EBITDA Multiple'!$H$30,-M114*'Peer Inside An EBITDA Multiple'!$H$11,"")</f>
        <v/>
      </c>
      <c r="O118" s="146" t="str">
        <f>IF(43&lt;='Peer Inside An EBITDA Multiple'!$H$30,-N118,"")</f>
        <v/>
      </c>
      <c r="P118" s="146" t="str">
        <f>IF(43&lt;='Peer Inside An EBITDA Multiple'!$H$30,SUM(M118:O118),"")</f>
        <v/>
      </c>
      <c r="Q118" s="146" t="str">
        <f>IF(44&lt;='Peer Inside An EBITDA Multiple'!$H$30,-P114*'Peer Inside An EBITDA Multiple'!$H$11,"")</f>
        <v/>
      </c>
      <c r="R118" s="146" t="str">
        <f>IF(44&lt;='Peer Inside An EBITDA Multiple'!$H$30,-Q118,"")</f>
        <v/>
      </c>
      <c r="S118" s="146" t="str">
        <f>IF(44&lt;='Peer Inside An EBITDA Multiple'!$H$30,SUM(P118:R118),"")</f>
        <v/>
      </c>
      <c r="T118" s="146" t="str">
        <f>IF(45&lt;='Peer Inside An EBITDA Multiple'!$H$30,-S114*'Peer Inside An EBITDA Multiple'!$H$11,"")</f>
        <v/>
      </c>
      <c r="U118" s="146" t="str">
        <f>IF(45&lt;='Peer Inside An EBITDA Multiple'!$H$30,-T118,"")</f>
        <v/>
      </c>
      <c r="V118" s="146" t="str">
        <f>IF(45&lt;='Peer Inside An EBITDA Multiple'!$H$30,SUM(S118:U118),"")</f>
        <v/>
      </c>
    </row>
    <row r="119" spans="2:22" ht="12" customHeight="1">
      <c r="B119" s="155" t="str">
        <f>IF('Peer Inside An EBITDA Multiple'!$H$30&gt;40,B106+11,"")</f>
        <v/>
      </c>
      <c r="D119" s="139" t="str">
        <f>IF('Peer Inside An EBITDA Multiple'!$H$30&gt;40,D106,"")</f>
        <v/>
      </c>
      <c r="E119" s="136"/>
      <c r="F119" s="144" t="str">
        <f>IF('Peer Inside An EBITDA Multiple'!$H$30&gt;40,"-["&amp;TEXT(B113,"0")&amp;"]*["&amp;'Peer Inside An EBITDA Multiple'!$C$9&amp;"]","")</f>
        <v/>
      </c>
      <c r="G119" s="146" t="str">
        <f>IF('Peer Inside An EBITDA Multiple'!$H$30&gt;G110,V106,"")</f>
        <v/>
      </c>
      <c r="H119" s="146" t="str">
        <f>IF(41&lt;='Peer Inside An EBITDA Multiple'!$H$30,-V100*'Peer Inside An EBITDA Multiple'!$H9,"")</f>
        <v/>
      </c>
      <c r="I119" s="146" t="str">
        <f>IF(41&lt;='Peer Inside An EBITDA Multiple'!$H$30,-H119,"")</f>
        <v/>
      </c>
      <c r="J119" s="146" t="str">
        <f>IF(41&lt;='Peer Inside An EBITDA Multiple'!$H$30,SUM(G119:I119),"")</f>
        <v/>
      </c>
      <c r="K119" s="146" t="str">
        <f>IF(42&lt;='Peer Inside An EBITDA Multiple'!$H$30,-J113*'Peer Inside An EBITDA Multiple'!$H9,"")</f>
        <v/>
      </c>
      <c r="L119" s="146" t="str">
        <f>IF(42&lt;='Peer Inside An EBITDA Multiple'!$H$30,-K119,"")</f>
        <v/>
      </c>
      <c r="M119" s="146" t="str">
        <f>IF(42&lt;='Peer Inside An EBITDA Multiple'!$H$30,SUM(J119:L119),"")</f>
        <v/>
      </c>
      <c r="N119" s="146" t="str">
        <f>IF(43&lt;='Peer Inside An EBITDA Multiple'!$H$30,-M113*'Peer Inside An EBITDA Multiple'!$H9,"")</f>
        <v/>
      </c>
      <c r="O119" s="146" t="str">
        <f>IF(43&lt;='Peer Inside An EBITDA Multiple'!$H$30,-N119,"")</f>
        <v/>
      </c>
      <c r="P119" s="146" t="str">
        <f>IF(43&lt;='Peer Inside An EBITDA Multiple'!$H$30,SUM(M119:O119),"")</f>
        <v/>
      </c>
      <c r="Q119" s="146" t="str">
        <f>IF(44&lt;='Peer Inside An EBITDA Multiple'!$H$30,-P113*'Peer Inside An EBITDA Multiple'!$H9,"")</f>
        <v/>
      </c>
      <c r="R119" s="146" t="str">
        <f>IF(44&lt;='Peer Inside An EBITDA Multiple'!$H$30,-Q119,"")</f>
        <v/>
      </c>
      <c r="S119" s="146" t="str">
        <f>IF(44&lt;='Peer Inside An EBITDA Multiple'!$H$30,SUM(P119:R119),"")</f>
        <v/>
      </c>
      <c r="T119" s="146" t="str">
        <f>IF(45&lt;='Peer Inside An EBITDA Multiple'!$H$30,-S113*'Peer Inside An EBITDA Multiple'!$H9,"")</f>
        <v/>
      </c>
      <c r="U119" s="146" t="str">
        <f>IF(45&lt;='Peer Inside An EBITDA Multiple'!$H$30,-T119,"")</f>
        <v/>
      </c>
      <c r="V119" s="146" t="str">
        <f>IF(45&lt;='Peer Inside An EBITDA Multiple'!$H$30,SUM(S119:U119),"")</f>
        <v/>
      </c>
    </row>
    <row r="120" spans="2:22" ht="12" customHeight="1">
      <c r="B120" s="155" t="str">
        <f>IF('Peer Inside An EBITDA Multiple'!$H$30&gt;40,B107+11,"")</f>
        <v/>
      </c>
      <c r="D120" s="139" t="str">
        <f>IF('Peer Inside An EBITDA Multiple'!$H$30&gt;40,D107,"")</f>
        <v/>
      </c>
      <c r="E120" s="136"/>
      <c r="F120" s="144" t="str">
        <f>IF('Peer Inside An EBITDA Multiple'!$H$30&gt;40,"-SUM(["&amp;TEXT(B116,"0")&amp;"]:["&amp;TEXT(B119,"0")&amp;"])*["&amp;'Peer Inside An EBITDA Multiple'!$C$12&amp;"]","")</f>
        <v/>
      </c>
      <c r="G120" s="146" t="str">
        <f>IF('Peer Inside An EBITDA Multiple'!$H$30&gt;G110,V107,"")</f>
        <v/>
      </c>
      <c r="H120" s="146" t="str">
        <f>IF(41&lt;='Peer Inside An EBITDA Multiple'!$H$30,-SUM(H116:H119)*'Peer Inside An EBITDA Multiple'!$H$12,"")</f>
        <v/>
      </c>
      <c r="I120" s="146" t="str">
        <f>IF(41&lt;='Peer Inside An EBITDA Multiple'!$H$30,-H120,"")</f>
        <v/>
      </c>
      <c r="J120" s="146" t="str">
        <f>IF(41&lt;='Peer Inside An EBITDA Multiple'!$H$30,SUM(G120:I120),"")</f>
        <v/>
      </c>
      <c r="K120" s="146" t="str">
        <f>IF(42&lt;='Peer Inside An EBITDA Multiple'!$H$30,-SUM(K116:K119)*'Peer Inside An EBITDA Multiple'!$H$12,"")</f>
        <v/>
      </c>
      <c r="L120" s="146" t="str">
        <f>IF(42&lt;='Peer Inside An EBITDA Multiple'!$H$30,-K120,"")</f>
        <v/>
      </c>
      <c r="M120" s="146" t="str">
        <f>IF(42&lt;='Peer Inside An EBITDA Multiple'!$H$30,SUM(J120:L120),"")</f>
        <v/>
      </c>
      <c r="N120" s="146" t="str">
        <f>IF(43&lt;='Peer Inside An EBITDA Multiple'!$H$30,-SUM(N116:N119)*'Peer Inside An EBITDA Multiple'!$H$12,"")</f>
        <v/>
      </c>
      <c r="O120" s="146" t="str">
        <f>IF(43&lt;='Peer Inside An EBITDA Multiple'!$H$30,-N120,"")</f>
        <v/>
      </c>
      <c r="P120" s="146" t="str">
        <f>IF(43&lt;='Peer Inside An EBITDA Multiple'!$H$30,SUM(M120:O120),"")</f>
        <v/>
      </c>
      <c r="Q120" s="146" t="str">
        <f>IF(44&lt;='Peer Inside An EBITDA Multiple'!$H$30,-SUM(Q116:Q119)*'Peer Inside An EBITDA Multiple'!$H$12,"")</f>
        <v/>
      </c>
      <c r="R120" s="146" t="str">
        <f>IF(44&lt;='Peer Inside An EBITDA Multiple'!$H$30,-Q120,"")</f>
        <v/>
      </c>
      <c r="S120" s="146" t="str">
        <f>IF(44&lt;='Peer Inside An EBITDA Multiple'!$H$30,SUM(P120:R120),"")</f>
        <v/>
      </c>
      <c r="T120" s="146" t="str">
        <f>IF(45&lt;='Peer Inside An EBITDA Multiple'!$H$30,-SUM(T116:T119)*'Peer Inside An EBITDA Multiple'!$H$12,"")</f>
        <v/>
      </c>
      <c r="U120" s="146" t="str">
        <f>IF(45&lt;='Peer Inside An EBITDA Multiple'!$H$30,-T120,"")</f>
        <v/>
      </c>
      <c r="V120" s="146" t="str">
        <f>IF(45&lt;='Peer Inside An EBITDA Multiple'!$H$30,SUM(S120:U120),"")</f>
        <v/>
      </c>
    </row>
    <row r="121" spans="2:22" ht="12.75" customHeight="1" thickBot="1">
      <c r="B121" s="155" t="str">
        <f>IF('Peer Inside An EBITDA Multiple'!$H$30&gt;40,B108+11,"")</f>
        <v/>
      </c>
      <c r="D121" s="139" t="str">
        <f>IF('Peer Inside An EBITDA Multiple'!$H$30&gt;40,D108,"")</f>
        <v/>
      </c>
      <c r="E121" s="136"/>
      <c r="F121" s="144" t="str">
        <f>IF('Peer Inside An EBITDA Multiple'!$H$30&gt;40,"SUM(["&amp;TEXT(B111,"0")&amp;"]:["&amp;TEXT(B120,"0")&amp;"])","")</f>
        <v/>
      </c>
      <c r="G121" s="151" t="str">
        <f>IF(V97&lt;'Peer Inside An EBITDA Multiple'!$H$30,ABS(SUM(G111:G120)),"")</f>
        <v/>
      </c>
      <c r="H121" s="151" t="str">
        <f>IF(J110&lt;='Peer Inside An EBITDA Multiple'!$H$30,ABS(SUM(H111:H120)),"")</f>
        <v/>
      </c>
      <c r="I121" s="151" t="str">
        <f>IF(J110&lt;='Peer Inside An EBITDA Multiple'!$H$30,ABS(SUM(I111:I120)),"")</f>
        <v/>
      </c>
      <c r="J121" s="151" t="str">
        <f>IF(J110&lt;='Peer Inside An EBITDA Multiple'!$H$30,ABS(SUM(J111:J120)),"")</f>
        <v/>
      </c>
      <c r="K121" s="151" t="str">
        <f>IF(M110&lt;='Peer Inside An EBITDA Multiple'!$H$30,ABS(SUM(K111:K120)),"")</f>
        <v/>
      </c>
      <c r="L121" s="151" t="str">
        <f>IF(M110&lt;='Peer Inside An EBITDA Multiple'!$H$30,ABS(SUM(L111:L120)),"")</f>
        <v/>
      </c>
      <c r="M121" s="151" t="str">
        <f>IF(M110&lt;='Peer Inside An EBITDA Multiple'!$H$30,ABS(SUM(M111:M120)),"")</f>
        <v/>
      </c>
      <c r="N121" s="151" t="str">
        <f>IF(P110&lt;='Peer Inside An EBITDA Multiple'!$H$30,ABS(SUM(N111:N120)),"")</f>
        <v/>
      </c>
      <c r="O121" s="151" t="str">
        <f>IF(P110&lt;='Peer Inside An EBITDA Multiple'!$H$30,ABS(SUM(O111:O120)),"")</f>
        <v/>
      </c>
      <c r="P121" s="151" t="str">
        <f>IF(P110&lt;='Peer Inside An EBITDA Multiple'!$H$30,ABS(SUM(P111:P120)),"")</f>
        <v/>
      </c>
      <c r="Q121" s="151" t="str">
        <f>IF(S110&lt;='Peer Inside An EBITDA Multiple'!$H$30,ABS(SUM(Q111:Q120)),"")</f>
        <v/>
      </c>
      <c r="R121" s="151" t="str">
        <f>IF(S110&lt;='Peer Inside An EBITDA Multiple'!$H$30,ABS(SUM(R111:R120)),"")</f>
        <v/>
      </c>
      <c r="S121" s="151" t="str">
        <f>IF(S110&lt;='Peer Inside An EBITDA Multiple'!$H$30,ABS(SUM(S111:S120)),"")</f>
        <v/>
      </c>
      <c r="T121" s="151" t="str">
        <f>IF(V110&lt;='Peer Inside An EBITDA Multiple'!$H$30,ABS(SUM(T111:T120)),"")</f>
        <v/>
      </c>
      <c r="U121" s="151" t="str">
        <f>IF(V110&lt;='Peer Inside An EBITDA Multiple'!$H$30,ABS(SUM(U111:U120)),"")</f>
        <v/>
      </c>
      <c r="V121" s="151" t="str">
        <f>IF(V110&lt;='Peer Inside An EBITDA Multiple'!$H$30,ABS(SUM(V111:V120)),"")</f>
        <v/>
      </c>
    </row>
    <row r="122" spans="2:22" ht="9" customHeight="1" thickTop="1"/>
    <row r="123" spans="2:22" ht="12" customHeight="1">
      <c r="D123" s="138" t="str">
        <f>IF('Peer Inside An EBITDA Multiple'!$H$30&gt;45,IF('Peer Inside An EBITDA Multiple'!$H$30=46,"Trial Balance 46","Trial Balances 46 - "&amp;'Peer Inside An EBITDA Multiple'!$H$30),"")</f>
        <v/>
      </c>
      <c r="E123" s="138"/>
      <c r="F123" s="143"/>
      <c r="G123" s="149" t="str">
        <f>IF(V110&lt;'Peer Inside An EBITDA Multiple'!$H$30,V110,"")</f>
        <v/>
      </c>
      <c r="H123" s="149" t="str">
        <f>IF(G123&lt;'Peer Inside An EBITDA Multiple'!$H$30,"Activity","")</f>
        <v/>
      </c>
      <c r="I123" s="149" t="str">
        <f>IF(G123&lt;'Peer Inside An EBITDA Multiple'!$H$30,"Close","")</f>
        <v/>
      </c>
      <c r="J123" s="150" t="str">
        <f>IF(G123&lt;'Peer Inside An EBITDA Multiple'!$H$30,G123+1,"")</f>
        <v/>
      </c>
      <c r="K123" s="149" t="str">
        <f>IF(J123&lt;'Peer Inside An EBITDA Multiple'!$H$30,"Activity","")</f>
        <v/>
      </c>
      <c r="L123" s="149" t="str">
        <f>IF(J123&lt;'Peer Inside An EBITDA Multiple'!$H$30,"Close","")</f>
        <v/>
      </c>
      <c r="M123" s="150" t="str">
        <f>IF(J123&lt;'Peer Inside An EBITDA Multiple'!$H$30,J123+1,"")</f>
        <v/>
      </c>
      <c r="N123" s="149" t="str">
        <f>IF(M123&lt;'Peer Inside An EBITDA Multiple'!$H$30,"Activity","")</f>
        <v/>
      </c>
      <c r="O123" s="149" t="str">
        <f>IF(M123&lt;'Peer Inside An EBITDA Multiple'!$H$30,"Close","")</f>
        <v/>
      </c>
      <c r="P123" s="150" t="str">
        <f>IF(M123&lt;'Peer Inside An EBITDA Multiple'!$H$30,M123+1,"")</f>
        <v/>
      </c>
    </row>
    <row r="124" spans="2:22" ht="12" customHeight="1">
      <c r="B124" s="155" t="str">
        <f>IF('Peer Inside An EBITDA Multiple'!$H$30&gt;45,B111+11,"")</f>
        <v/>
      </c>
      <c r="D124" s="139" t="str">
        <f>IF('Peer Inside An EBITDA Multiple'!$H$30&gt;45,D111,"")</f>
        <v/>
      </c>
      <c r="E124" s="136"/>
      <c r="F124" s="145" t="str">
        <f>IF('Peer Inside An EBITDA Multiple'!$H$30&gt;45,"["&amp;'Peer Inside An EBITDA Multiple'!$C$39&amp;"]","")</f>
        <v/>
      </c>
      <c r="G124" s="146" t="str">
        <f>IF('Peer Inside An EBITDA Multiple'!$H$30&gt;G123,V111,"")</f>
        <v/>
      </c>
      <c r="I124" s="146" t="str">
        <f>IF(46&lt;'Peer Inside An EBITDA Multiple'!$H$30,"",IF(46='Peer Inside An EBITDA Multiple'!$H$30,-V111,""))</f>
        <v/>
      </c>
      <c r="J124" s="146" t="str">
        <f>IF(46&lt;='Peer Inside An EBITDA Multiple'!$H$30,SUM(G124:I124),"")</f>
        <v/>
      </c>
      <c r="L124" s="146" t="str">
        <f>IF(47&lt;'Peer Inside An EBITDA Multiple'!$H$30,"",IF(47='Peer Inside An EBITDA Multiple'!$H$30,-J124,""))</f>
        <v/>
      </c>
      <c r="M124" s="146" t="str">
        <f>IF(47&lt;='Peer Inside An EBITDA Multiple'!$H$30,SUM(J124:L124),"")</f>
        <v/>
      </c>
      <c r="O124" s="146" t="str">
        <f>IF(48&lt;'Peer Inside An EBITDA Multiple'!$H$30,"",IF(48='Peer Inside An EBITDA Multiple'!$H$30,-M124,""))</f>
        <v/>
      </c>
      <c r="P124" s="146" t="str">
        <f>IF(48&lt;='Peer Inside An EBITDA Multiple'!$H$30,SUM(M124:O124),"")</f>
        <v/>
      </c>
    </row>
    <row r="125" spans="2:22" ht="12" customHeight="1">
      <c r="B125" s="155" t="str">
        <f>IF('Peer Inside An EBITDA Multiple'!$H$30&gt;45,B112+11,"")</f>
        <v/>
      </c>
      <c r="D125" s="139" t="str">
        <f>IF('Peer Inside An EBITDA Multiple'!$H$30&gt;45,D112,"")</f>
        <v/>
      </c>
      <c r="E125" s="136"/>
      <c r="F125" s="144" t="str">
        <f>IF('Peer Inside An EBITDA Multiple'!$H$30&gt;45,"["&amp;TEXT(B125,"0")&amp;"]-["&amp;TEXT(B130,"0")&amp;"]","")</f>
        <v/>
      </c>
      <c r="G125" s="146" t="str">
        <f>IF('Peer Inside An EBITDA Multiple'!$H$30&gt;G123,V112,"")</f>
        <v/>
      </c>
      <c r="H125" s="146" t="str">
        <f>IF(46&lt;='Peer Inside An EBITDA Multiple'!$H$30,-H130,"")</f>
        <v/>
      </c>
      <c r="I125" s="146" t="str">
        <f>IF(46='Peer Inside An EBITDA Multiple'!$H$30,-I124,"")</f>
        <v/>
      </c>
      <c r="J125" s="146" t="str">
        <f>IF(46='Peer Inside An EBITDA Multiple'!$H$30,SUM(G125:I125),IF(46&lt;='Peer Inside An EBITDA Multiple'!$H$30,G125-H130,""))</f>
        <v/>
      </c>
      <c r="K125" s="146" t="str">
        <f>IF(47&lt;='Peer Inside An EBITDA Multiple'!$H$30,-K130,"")</f>
        <v/>
      </c>
      <c r="L125" s="146" t="str">
        <f>IF(47='Peer Inside An EBITDA Multiple'!$H$30,-L124,"")</f>
        <v/>
      </c>
      <c r="M125" s="146" t="str">
        <f>IF(47='Peer Inside An EBITDA Multiple'!$H$30,SUM(J125:L125),IF(47&lt;='Peer Inside An EBITDA Multiple'!$H$30,J125-K130,""))</f>
        <v/>
      </c>
      <c r="N125" s="146" t="str">
        <f>IF(48&lt;='Peer Inside An EBITDA Multiple'!$H$30,-N130,"")</f>
        <v/>
      </c>
      <c r="O125" s="146" t="str">
        <f>IF(48='Peer Inside An EBITDA Multiple'!$H$30,-O124,"")</f>
        <v/>
      </c>
      <c r="P125" s="146" t="str">
        <f>IF(48='Peer Inside An EBITDA Multiple'!$H$30,SUM(M125:O125),IF(48&lt;='Peer Inside An EBITDA Multiple'!$H$30,M125-N130,""))</f>
        <v/>
      </c>
    </row>
    <row r="126" spans="2:22" ht="12" customHeight="1">
      <c r="B126" s="155" t="str">
        <f>IF('Peer Inside An EBITDA Multiple'!$H$30&gt;45,B113+11,"")</f>
        <v/>
      </c>
      <c r="D126" s="139" t="str">
        <f>IF('Peer Inside An EBITDA Multiple'!$H$30&gt;45,D113,"")</f>
        <v/>
      </c>
      <c r="E126" s="136"/>
      <c r="F126" s="144" t="str">
        <f>IF('Peer Inside An EBITDA Multiple'!$H$30&gt;45,"-SUM(["&amp;TEXT(B124,"0")&amp;"]:["&amp;TEXT(B125,"0")&amp;"],["&amp;TEXT(B127,"0")&amp;"]:["&amp;TEXT(B133,"0")&amp;"])","")</f>
        <v/>
      </c>
      <c r="G126" s="146" t="str">
        <f>IF('Peer Inside An EBITDA Multiple'!$H$30&gt;G123,V113,"")</f>
        <v/>
      </c>
      <c r="H126" s="146" t="str">
        <f>IF(46&lt;='Peer Inside An EBITDA Multiple'!$H$30,-SUM(H124:H125,H127:H133),"")</f>
        <v/>
      </c>
      <c r="J126" s="146" t="str">
        <f>IF(46='Peer Inside An EBITDA Multiple'!$H$30,ABS(SUM(G126:I126)),IF(46&lt;'Peer Inside An EBITDA Multiple'!$H$30,SUM(G126:I126),""))</f>
        <v/>
      </c>
      <c r="K126" s="146" t="str">
        <f>IF(47&lt;='Peer Inside An EBITDA Multiple'!$H$30,-SUM(K124:K125,K127:K133),"")</f>
        <v/>
      </c>
      <c r="M126" s="146" t="str">
        <f>IF(47='Peer Inside An EBITDA Multiple'!$H$30,ABS(SUM(J126:L126)),IF(47&lt;'Peer Inside An EBITDA Multiple'!$H$30,SUM(J126:L126),""))</f>
        <v/>
      </c>
      <c r="N126" s="146" t="str">
        <f>IF(48&lt;='Peer Inside An EBITDA Multiple'!$H$30,-SUM(N124:N125,N127:N133),"")</f>
        <v/>
      </c>
      <c r="P126" s="146" t="str">
        <f>IF(48='Peer Inside An EBITDA Multiple'!$H$30,ABS(SUM(M126:O126)),IF(48&lt;'Peer Inside An EBITDA Multiple'!$H$30,SUM(M126:O126),""))</f>
        <v/>
      </c>
    </row>
    <row r="127" spans="2:22" ht="12" customHeight="1">
      <c r="B127" s="155" t="str">
        <f>IF('Peer Inside An EBITDA Multiple'!$H$30&gt;45,B114+11,"")</f>
        <v/>
      </c>
      <c r="D127" s="139" t="str">
        <f>IF('Peer Inside An EBITDA Multiple'!$H$30&gt;45,D114,"")</f>
        <v/>
      </c>
      <c r="E127" s="136"/>
      <c r="F127" s="144" t="str">
        <f>IF('Peer Inside An EBITDA Multiple'!$H$30&gt;45,"-["&amp;'Peer Inside An EBITDA Multiple'!$C$44&amp;"]*["&amp;'Peer Inside An EBITDA Multiple'!$C$10&amp;"]","")</f>
        <v/>
      </c>
      <c r="G127" s="146" t="str">
        <f>IF('Peer Inside An EBITDA Multiple'!$H$30&gt;G123,V114,"")</f>
        <v/>
      </c>
      <c r="H127" s="146" t="str">
        <f>IF(46&lt;='Peer Inside An EBITDA Multiple'!$H$30,-'Peer Inside An EBITDA Multiple'!BB59,"")</f>
        <v/>
      </c>
      <c r="J127" s="146" t="str">
        <f>IF(46='Peer Inside An EBITDA Multiple'!$H$30,ABS(SUM(G127:I127)),IF(46&lt;'Peer Inside An EBITDA Multiple'!$H$30,SUM(G127:I127),""))</f>
        <v/>
      </c>
      <c r="K127" s="146" t="str">
        <f>IF(47&lt;='Peer Inside An EBITDA Multiple'!$H$30,-'Peer Inside An EBITDA Multiple'!BC59,"")</f>
        <v/>
      </c>
      <c r="M127" s="146" t="str">
        <f>IF(47='Peer Inside An EBITDA Multiple'!$H$30,ABS(SUM(J127:L127)),IF(47&lt;'Peer Inside An EBITDA Multiple'!$H$30,SUM(J127:L127),""))</f>
        <v/>
      </c>
      <c r="N127" s="146" t="str">
        <f>IF(48&lt;='Peer Inside An EBITDA Multiple'!$H$30,-'Peer Inside An EBITDA Multiple'!BD59,"")</f>
        <v/>
      </c>
      <c r="P127" s="146" t="str">
        <f>IF(48='Peer Inside An EBITDA Multiple'!$H$30,ABS(SUM(M127:O127)),IF(48&lt;'Peer Inside An EBITDA Multiple'!$H$30,SUM(M127:O127),""))</f>
        <v/>
      </c>
    </row>
    <row r="128" spans="2:22" ht="12" customHeight="1">
      <c r="B128" s="155" t="str">
        <f>IF('Peer Inside An EBITDA Multiple'!$H$30&gt;45,B115+11,"")</f>
        <v/>
      </c>
      <c r="D128" s="139" t="str">
        <f>IF('Peer Inside An EBITDA Multiple'!$H$30&gt;45,D115,"")</f>
        <v/>
      </c>
      <c r="E128" s="136"/>
      <c r="F128" s="144" t="str">
        <f>IF('Peer Inside An EBITDA Multiple'!$H$30&gt;45,"-["&amp;'Peer Inside An EBITDA Multiple'!$C$44&amp;"]*(1-["&amp;'Peer Inside An EBITDA Multiple'!$C$10&amp;"])","")</f>
        <v/>
      </c>
      <c r="G128" s="146" t="str">
        <f>IF('Peer Inside An EBITDA Multiple'!$H$30&gt;G123,V115,"")</f>
        <v/>
      </c>
      <c r="H128" s="146" t="str">
        <f>IF(46&lt;='Peer Inside An EBITDA Multiple'!$H$30,J128-V115-I128,"")</f>
        <v/>
      </c>
      <c r="I128" s="146" t="str">
        <f>IF(46&lt;='Peer Inside An EBITDA Multiple'!$H$30,-SUM(I129:I133),"")</f>
        <v/>
      </c>
      <c r="J128" s="146" t="str">
        <f>IF(46='Peer Inside An EBITDA Multiple'!$H$30,0,IF(46&lt;'Peer Inside An EBITDA Multiple'!$H$30,-'Peer Inside An EBITDA Multiple'!BB66,""))</f>
        <v/>
      </c>
      <c r="K128" s="146" t="str">
        <f>IF(47&lt;='Peer Inside An EBITDA Multiple'!$H$30,M128-J128-L128,"")</f>
        <v/>
      </c>
      <c r="L128" s="146" t="str">
        <f>IF(47&lt;='Peer Inside An EBITDA Multiple'!$H$30,-SUM(L129:L133),"")</f>
        <v/>
      </c>
      <c r="M128" s="146" t="str">
        <f>IF(47='Peer Inside An EBITDA Multiple'!$H$30,0,IF(47&lt;'Peer Inside An EBITDA Multiple'!$H$30,-'Peer Inside An EBITDA Multiple'!BC66,""))</f>
        <v/>
      </c>
      <c r="N128" s="146" t="str">
        <f>IF(48&lt;='Peer Inside An EBITDA Multiple'!$H$30,P128-M128-O128,"")</f>
        <v/>
      </c>
      <c r="O128" s="146" t="str">
        <f>IF(48&lt;='Peer Inside An EBITDA Multiple'!$H$30,-SUM(O129:O133),"")</f>
        <v/>
      </c>
      <c r="P128" s="146" t="str">
        <f>IF(48='Peer Inside An EBITDA Multiple'!$H$30,0,IF(48&lt;'Peer Inside An EBITDA Multiple'!$H$30,-'Peer Inside An EBITDA Multiple'!BD66,""))</f>
        <v/>
      </c>
    </row>
    <row r="129" spans="2:16" ht="12" customHeight="1">
      <c r="B129" s="155" t="str">
        <f>IF('Peer Inside An EBITDA Multiple'!$H$30&gt;45,B116+11,"")</f>
        <v/>
      </c>
      <c r="D129" s="139" t="str">
        <f>IF('Peer Inside An EBITDA Multiple'!$H$30&gt;45,D116,"")</f>
        <v/>
      </c>
      <c r="E129" s="136"/>
      <c r="F129" s="144" t="str">
        <f>IF('Peer Inside An EBITDA Multiple'!$H$30&gt;45,"["&amp;TEXT('Peer Inside An EBITDA Multiple'!$C$46,"0")&amp;"]","")</f>
        <v/>
      </c>
      <c r="G129" s="146" t="str">
        <f>IF('Peer Inside An EBITDA Multiple'!$H$30&gt;G123,V116,"")</f>
        <v/>
      </c>
      <c r="H129" s="146" t="str">
        <f>IF(46&lt;='Peer Inside An EBITDA Multiple'!$H$30,-'Peer Inside An EBITDA Multiple'!BB49,"")</f>
        <v/>
      </c>
      <c r="I129" s="146" t="str">
        <f>IF(46&lt;='Peer Inside An EBITDA Multiple'!$H$30,-H129,"")</f>
        <v/>
      </c>
      <c r="J129" s="146" t="str">
        <f>IF(46&lt;='Peer Inside An EBITDA Multiple'!$H$30,SUM(G129:I129),"")</f>
        <v/>
      </c>
      <c r="K129" s="146" t="str">
        <f>IF(47&lt;='Peer Inside An EBITDA Multiple'!$H$30,-'Peer Inside An EBITDA Multiple'!BC49,"")</f>
        <v/>
      </c>
      <c r="L129" s="146" t="str">
        <f>IF(47&lt;='Peer Inside An EBITDA Multiple'!$H$30,-K129,"")</f>
        <v/>
      </c>
      <c r="M129" s="146" t="str">
        <f>IF(47&lt;='Peer Inside An EBITDA Multiple'!$H$30,SUM(J129:L129),"")</f>
        <v/>
      </c>
      <c r="N129" s="146" t="str">
        <f>IF(48&lt;='Peer Inside An EBITDA Multiple'!$H$30,-'Peer Inside An EBITDA Multiple'!BD49,"")</f>
        <v/>
      </c>
      <c r="O129" s="146" t="str">
        <f>IF(48&lt;='Peer Inside An EBITDA Multiple'!$H$30,-N129,"")</f>
        <v/>
      </c>
      <c r="P129" s="146" t="str">
        <f>IF(48&lt;='Peer Inside An EBITDA Multiple'!$H$30,SUM(M129:O129),"")</f>
        <v/>
      </c>
    </row>
    <row r="130" spans="2:16" ht="12" customHeight="1">
      <c r="B130" s="155" t="str">
        <f>IF('Peer Inside An EBITDA Multiple'!$H$30&gt;45,B117+11,"")</f>
        <v/>
      </c>
      <c r="D130" s="139" t="str">
        <f>IF('Peer Inside An EBITDA Multiple'!$H$30&gt;45,D117,"")</f>
        <v/>
      </c>
      <c r="E130" s="136"/>
      <c r="F130" s="144" t="str">
        <f>IF('Peer Inside An EBITDA Multiple'!$H$30&gt;45,"["&amp;TEXT('Peer Inside An EBITDA Multiple'!$C$39,"0")&amp;"]/["&amp;'Peer Inside An EBITDA Multiple'!C$30&amp;"]","")</f>
        <v/>
      </c>
      <c r="G130" s="146" t="str">
        <f>IF('Peer Inside An EBITDA Multiple'!$H$30&gt;G123,V117,"")</f>
        <v/>
      </c>
      <c r="H130" s="146" t="str">
        <f>IF(46&lt;='Peer Inside An EBITDA Multiple'!$H$30,T117,"")</f>
        <v/>
      </c>
      <c r="I130" s="146" t="str">
        <f>IF(46&lt;='Peer Inside An EBITDA Multiple'!$H$30,-H130,"")</f>
        <v/>
      </c>
      <c r="J130" s="146" t="str">
        <f>IF(46&lt;='Peer Inside An EBITDA Multiple'!$H$30,SUM(G130:I130),"")</f>
        <v/>
      </c>
      <c r="K130" s="146" t="str">
        <f>IF(47&lt;='Peer Inside An EBITDA Multiple'!$H$30,H130,"")</f>
        <v/>
      </c>
      <c r="L130" s="146" t="str">
        <f>IF(47&lt;='Peer Inside An EBITDA Multiple'!$H$30,-K130,"")</f>
        <v/>
      </c>
      <c r="M130" s="146" t="str">
        <f>IF(47&lt;='Peer Inside An EBITDA Multiple'!$H$30,SUM(J130:L130),"")</f>
        <v/>
      </c>
      <c r="N130" s="146" t="str">
        <f>IF(48&lt;='Peer Inside An EBITDA Multiple'!$H$30,K130,"")</f>
        <v/>
      </c>
      <c r="O130" s="146" t="str">
        <f>IF(48&lt;='Peer Inside An EBITDA Multiple'!$H$30,-N130,"")</f>
        <v/>
      </c>
      <c r="P130" s="146" t="str">
        <f>IF(48&lt;='Peer Inside An EBITDA Multiple'!$H$30,SUM(M130:O130),"")</f>
        <v/>
      </c>
    </row>
    <row r="131" spans="2:16" ht="12" customHeight="1">
      <c r="B131" s="155" t="str">
        <f>IF('Peer Inside An EBITDA Multiple'!$H$30&gt;45,B118+11,"")</f>
        <v/>
      </c>
      <c r="D131" s="139" t="str">
        <f>IF('Peer Inside An EBITDA Multiple'!$H$30&gt;45,D118,"")</f>
        <v/>
      </c>
      <c r="E131" s="136"/>
      <c r="F131" s="144" t="str">
        <f>IF('Peer Inside An EBITDA Multiple'!$H$30&gt;45,"-["&amp;TEXT(B127,"0")&amp;"]*["&amp;TEXT('Peer Inside An EBITDA Multiple'!$C$11,"0")&amp;"]","")</f>
        <v/>
      </c>
      <c r="G131" s="146" t="str">
        <f>IF('Peer Inside An EBITDA Multiple'!$H$30&gt;G123,V118,"")</f>
        <v/>
      </c>
      <c r="H131" s="146" t="str">
        <f>IF(46&lt;='Peer Inside An EBITDA Multiple'!$H$30,-V114*'Peer Inside An EBITDA Multiple'!$H$11,"")</f>
        <v/>
      </c>
      <c r="I131" s="146" t="str">
        <f>IF(46&lt;='Peer Inside An EBITDA Multiple'!$H$30,-H131,"")</f>
        <v/>
      </c>
      <c r="J131" s="146" t="str">
        <f>IF(46&lt;='Peer Inside An EBITDA Multiple'!$H$30,SUM(G131:I131),"")</f>
        <v/>
      </c>
      <c r="K131" s="146" t="str">
        <f>IF(47&lt;='Peer Inside An EBITDA Multiple'!$H$30,-J127*'Peer Inside An EBITDA Multiple'!$H$11,"")</f>
        <v/>
      </c>
      <c r="L131" s="146" t="str">
        <f>IF(47&lt;='Peer Inside An EBITDA Multiple'!$H$30,-K131,"")</f>
        <v/>
      </c>
      <c r="M131" s="146" t="str">
        <f>IF(47&lt;='Peer Inside An EBITDA Multiple'!$H$30,SUM(J131:L131),"")</f>
        <v/>
      </c>
      <c r="N131" s="146" t="str">
        <f>IF(48&lt;='Peer Inside An EBITDA Multiple'!$H$30,-M127*'Peer Inside An EBITDA Multiple'!$H$11,"")</f>
        <v/>
      </c>
      <c r="O131" s="146" t="str">
        <f>IF(48&lt;='Peer Inside An EBITDA Multiple'!$H$30,-N131,"")</f>
        <v/>
      </c>
      <c r="P131" s="146" t="str">
        <f>IF(48&lt;='Peer Inside An EBITDA Multiple'!$H$30,SUM(M131:O131),"")</f>
        <v/>
      </c>
    </row>
    <row r="132" spans="2:16" ht="12" customHeight="1">
      <c r="B132" s="155" t="str">
        <f>IF('Peer Inside An EBITDA Multiple'!$H$30&gt;45,B119+11,"")</f>
        <v/>
      </c>
      <c r="D132" s="139" t="str">
        <f>IF('Peer Inside An EBITDA Multiple'!$H$30&gt;45,D119,"")</f>
        <v/>
      </c>
      <c r="E132" s="136"/>
      <c r="F132" s="144" t="str">
        <f>IF('Peer Inside An EBITDA Multiple'!$H$30&gt;45,"-["&amp;TEXT(B126,"0")&amp;"]*["&amp;'Peer Inside An EBITDA Multiple'!$C$9&amp;"]","")</f>
        <v/>
      </c>
      <c r="G132" s="146" t="str">
        <f>IF('Peer Inside An EBITDA Multiple'!$H$30&gt;G123,V119,"")</f>
        <v/>
      </c>
      <c r="H132" s="146" t="str">
        <f>IF(46&lt;='Peer Inside An EBITDA Multiple'!$H$30,-V113*'Peer Inside An EBITDA Multiple'!$H9,"")</f>
        <v/>
      </c>
      <c r="I132" s="146" t="str">
        <f>IF(46&lt;='Peer Inside An EBITDA Multiple'!$H$30,-H132,"")</f>
        <v/>
      </c>
      <c r="J132" s="146" t="str">
        <f>IF(46&lt;='Peer Inside An EBITDA Multiple'!$H$30,SUM(G132:I132),"")</f>
        <v/>
      </c>
      <c r="K132" s="146" t="str">
        <f>IF(47&lt;='Peer Inside An EBITDA Multiple'!$H$30,-J126*'Peer Inside An EBITDA Multiple'!$H9,"")</f>
        <v/>
      </c>
      <c r="L132" s="146" t="str">
        <f>IF(47&lt;='Peer Inside An EBITDA Multiple'!$H$30,-K132,"")</f>
        <v/>
      </c>
      <c r="M132" s="146" t="str">
        <f>IF(47&lt;='Peer Inside An EBITDA Multiple'!$H$30,SUM(J132:L132),"")</f>
        <v/>
      </c>
      <c r="N132" s="146" t="str">
        <f>IF(48&lt;='Peer Inside An EBITDA Multiple'!$H$30,-M126*'Peer Inside An EBITDA Multiple'!$H9,"")</f>
        <v/>
      </c>
      <c r="O132" s="146" t="str">
        <f>IF(48&lt;='Peer Inside An EBITDA Multiple'!$H$30,-N132,"")</f>
        <v/>
      </c>
      <c r="P132" s="146" t="str">
        <f>IF(48&lt;='Peer Inside An EBITDA Multiple'!$H$30,SUM(M132:O132),"")</f>
        <v/>
      </c>
    </row>
    <row r="133" spans="2:16" ht="12" customHeight="1">
      <c r="B133" s="155" t="str">
        <f>IF('Peer Inside An EBITDA Multiple'!$H$30&gt;45,B120+11,"")</f>
        <v/>
      </c>
      <c r="D133" s="139" t="str">
        <f>IF('Peer Inside An EBITDA Multiple'!$H$30&gt;45,D120,"")</f>
        <v/>
      </c>
      <c r="E133" s="136"/>
      <c r="F133" s="144" t="str">
        <f>IF('Peer Inside An EBITDA Multiple'!$H$30&gt;45,"-SUM(["&amp;TEXT(B129,"0")&amp;"]:["&amp;TEXT(B132,"0")&amp;"])*["&amp;'Peer Inside An EBITDA Multiple'!$C$12&amp;"]","")</f>
        <v/>
      </c>
      <c r="G133" s="146" t="str">
        <f>IF('Peer Inside An EBITDA Multiple'!$H$30&gt;G123,V120,"")</f>
        <v/>
      </c>
      <c r="H133" s="146" t="str">
        <f>IF(46&lt;='Peer Inside An EBITDA Multiple'!$H$30,-SUM(H129:H132)*'Peer Inside An EBITDA Multiple'!$H$12,"")</f>
        <v/>
      </c>
      <c r="I133" s="146" t="str">
        <f>IF(46&lt;='Peer Inside An EBITDA Multiple'!$H$30,-H133,"")</f>
        <v/>
      </c>
      <c r="J133" s="146" t="str">
        <f>IF(46&lt;='Peer Inside An EBITDA Multiple'!$H$30,SUM(G133:I133),"")</f>
        <v/>
      </c>
      <c r="K133" s="146" t="str">
        <f>IF(47&lt;='Peer Inside An EBITDA Multiple'!$H$30,-SUM(K129:K132)*'Peer Inside An EBITDA Multiple'!$H$12,"")</f>
        <v/>
      </c>
      <c r="L133" s="146" t="str">
        <f>IF(47&lt;='Peer Inside An EBITDA Multiple'!$H$30,-K133,"")</f>
        <v/>
      </c>
      <c r="M133" s="146" t="str">
        <f>IF(47&lt;='Peer Inside An EBITDA Multiple'!$H$30,SUM(J133:L133),"")</f>
        <v/>
      </c>
      <c r="N133" s="146" t="str">
        <f>IF(48&lt;='Peer Inside An EBITDA Multiple'!$H$30,-SUM(N129:N132)*'Peer Inside An EBITDA Multiple'!$H$12,"")</f>
        <v/>
      </c>
      <c r="O133" s="146" t="str">
        <f>IF(48&lt;='Peer Inside An EBITDA Multiple'!$H$30,-N133,"")</f>
        <v/>
      </c>
      <c r="P133" s="146" t="str">
        <f>IF(48&lt;='Peer Inside An EBITDA Multiple'!$H$30,SUM(M133:O133),"")</f>
        <v/>
      </c>
    </row>
    <row r="134" spans="2:16" ht="12" customHeight="1" thickBot="1">
      <c r="B134" s="155" t="str">
        <f>IF('Peer Inside An EBITDA Multiple'!$H$30&gt;45,B121+11,"")</f>
        <v/>
      </c>
      <c r="D134" s="139" t="str">
        <f>IF('Peer Inside An EBITDA Multiple'!$H$30&gt;45,D121,"")</f>
        <v/>
      </c>
      <c r="E134" s="136"/>
      <c r="F134" s="144" t="str">
        <f>IF('Peer Inside An EBITDA Multiple'!$H$30&gt;45,"SUM(["&amp;TEXT(B124,"0")&amp;"]:["&amp;TEXT(B133,"0")&amp;"])","")</f>
        <v/>
      </c>
      <c r="G134" s="151" t="str">
        <f>IF(V110&lt;'Peer Inside An EBITDA Multiple'!$H$30,ABS(SUM(G124:G133)),"")</f>
        <v/>
      </c>
      <c r="H134" s="151" t="str">
        <f>IF(J123&lt;='Peer Inside An EBITDA Multiple'!$H$30,ABS(SUM(H124:H133)),"")</f>
        <v/>
      </c>
      <c r="I134" s="151" t="str">
        <f>IF(J123&lt;='Peer Inside An EBITDA Multiple'!$H$30,ABS(SUM(I124:I133)),"")</f>
        <v/>
      </c>
      <c r="J134" s="151" t="str">
        <f>IF(J123&lt;='Peer Inside An EBITDA Multiple'!$H$30,ABS(SUM(J124:J133)),"")</f>
        <v/>
      </c>
      <c r="K134" s="151" t="str">
        <f>IF(M123&lt;='Peer Inside An EBITDA Multiple'!$H$30,ABS(SUM(K124:K133)),"")</f>
        <v/>
      </c>
      <c r="L134" s="151" t="str">
        <f>IF(M123&lt;='Peer Inside An EBITDA Multiple'!$H$30,ABS(SUM(L124:L133)),"")</f>
        <v/>
      </c>
      <c r="M134" s="151" t="str">
        <f>IF(M123&lt;='Peer Inside An EBITDA Multiple'!$H$30,ABS(SUM(M124:M133)),"")</f>
        <v/>
      </c>
      <c r="N134" s="151" t="str">
        <f>IF(P123&lt;='Peer Inside An EBITDA Multiple'!$H$30,ABS(SUM(N124:N133)),"")</f>
        <v/>
      </c>
      <c r="O134" s="151" t="str">
        <f>IF(P123&lt;='Peer Inside An EBITDA Multiple'!$H$30,ABS(SUM(O124:O133)),"")</f>
        <v/>
      </c>
      <c r="P134" s="151" t="str">
        <f>IF(P123&lt;='Peer Inside An EBITDA Multiple'!$H$30,ABS(SUM(P124:P133)),"")</f>
        <v/>
      </c>
    </row>
    <row r="135" spans="2:16" ht="13.5" thickTop="1"/>
  </sheetData>
  <pageMargins left="0.7" right="0.7" top="0.75" bottom="0.75" header="0.3" footer="0.3"/>
  <pageSetup scale="75" orientation="landscape" r:id="rId1"/>
  <rowBreaks count="2" manualBreakCount="2">
    <brk id="56" max="16383" man="1"/>
    <brk id="10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D62C9-4BDA-4ABB-9B7D-A5BD5A2F40D9}">
  <sheetPr codeName="Sheet4"/>
  <dimension ref="B6:S12"/>
  <sheetViews>
    <sheetView showGridLines="0" showRowColHeaders="0" topLeftCell="A3" workbookViewId="0"/>
  </sheetViews>
  <sheetFormatPr defaultRowHeight="12.75"/>
  <cols>
    <col min="1" max="1" width="3.7109375" customWidth="1"/>
    <col min="2" max="2" width="3.7109375" style="72" customWidth="1"/>
  </cols>
  <sheetData>
    <row r="6" spans="2:19" ht="26.25">
      <c r="B6" s="124" t="s">
        <v>66</v>
      </c>
      <c r="C6" s="124"/>
    </row>
    <row r="7" spans="2:19" ht="6" customHeight="1">
      <c r="B7" s="125"/>
      <c r="C7" s="124"/>
    </row>
    <row r="8" spans="2:19" ht="26.25">
      <c r="B8" s="126" t="s">
        <v>32</v>
      </c>
      <c r="C8" s="124" t="s">
        <v>119</v>
      </c>
    </row>
    <row r="9" spans="2:19" ht="26.25">
      <c r="B9" s="126" t="s">
        <v>33</v>
      </c>
      <c r="C9" s="124" t="s">
        <v>63</v>
      </c>
    </row>
    <row r="10" spans="2:19" ht="26.25">
      <c r="B10" s="126" t="s">
        <v>34</v>
      </c>
      <c r="C10" s="124" t="s">
        <v>64</v>
      </c>
    </row>
    <row r="11" spans="2:19" ht="26.25">
      <c r="B11" s="131" t="s">
        <v>35</v>
      </c>
      <c r="C11" s="132" t="s">
        <v>123</v>
      </c>
      <c r="S11" s="156"/>
    </row>
    <row r="12" spans="2:19" ht="26.25">
      <c r="B12" s="131" t="s">
        <v>108</v>
      </c>
      <c r="C12" s="13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WELCOME</vt:lpstr>
      <vt:lpstr>Peer Inside An EBITDA Multiple</vt:lpstr>
      <vt:lpstr>Trial Balances</vt:lpstr>
      <vt:lpstr>Calculate An EBITDA Multiple</vt:lpstr>
      <vt:lpstr>'Peer Inside An EBITDA Multiple'!Print_Area</vt:lpstr>
      <vt:lpstr>'Trial Balances'!Print_Area</vt:lpstr>
      <vt:lpstr>WELCOME!Print_Area</vt:lpstr>
      <vt:lpstr>'Trial Balances'!Print_Titles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joeddie</dc:creator>
  <cp:lastModifiedBy>Joe Rosebrock</cp:lastModifiedBy>
  <cp:lastPrinted>2026-06-23T14:47:50Z</cp:lastPrinted>
  <dcterms:created xsi:type="dcterms:W3CDTF">2024-11-29T22:09:48Z</dcterms:created>
  <dcterms:modified xsi:type="dcterms:W3CDTF">2026-06-23T14:48:08Z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ac3a1a-de19-428b-b395-6d250d7743fb_Enabled">
    <vt:lpwstr>true</vt:lpwstr>
  </property>
  <property fmtid="{D5CDD505-2E9C-101B-9397-08002B2CF9AE}" pid="3" name="MSIP_Label_e3ac3a1a-de19-428b-b395-6d250d7743fb_SetDate">
    <vt:lpwstr>2025-01-29T17:15:28Z</vt:lpwstr>
  </property>
  <property fmtid="{D5CDD505-2E9C-101B-9397-08002B2CF9AE}" pid="4" name="MSIP_Label_e3ac3a1a-de19-428b-b395-6d250d7743fb_Method">
    <vt:lpwstr>Standard</vt:lpwstr>
  </property>
  <property fmtid="{D5CDD505-2E9C-101B-9397-08002B2CF9AE}" pid="5" name="MSIP_Label_e3ac3a1a-de19-428b-b395-6d250d7743fb_Name">
    <vt:lpwstr>Internal Use Only</vt:lpwstr>
  </property>
  <property fmtid="{D5CDD505-2E9C-101B-9397-08002B2CF9AE}" pid="6" name="MSIP_Label_e3ac3a1a-de19-428b-b395-6d250d7743fb_SiteId">
    <vt:lpwstr>88cc5fd7-fd78-44b6-ad75-b6915088974f</vt:lpwstr>
  </property>
  <property fmtid="{D5CDD505-2E9C-101B-9397-08002B2CF9AE}" pid="7" name="MSIP_Label_e3ac3a1a-de19-428b-b395-6d250d7743fb_ActionId">
    <vt:lpwstr>f473a53f-f8b1-4275-a70f-cd4e58ac1ed2</vt:lpwstr>
  </property>
  <property fmtid="{D5CDD505-2E9C-101B-9397-08002B2CF9AE}" pid="8" name="MSIP_Label_e3ac3a1a-de19-428b-b395-6d250d7743fb_ContentBits">
    <vt:lpwstr>0</vt:lpwstr>
  </property>
</Properties>
</file>